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ue7\Desktop\Working files\"/>
    </mc:Choice>
  </mc:AlternateContent>
  <bookViews>
    <workbookView xWindow="1170" yWindow="1170" windowWidth="38700" windowHeight="15440"/>
  </bookViews>
  <sheets>
    <sheet name="Cases Averted" sheetId="1" r:id="rId1"/>
    <sheet name="Cost Estimates (Reported Cases)" sheetId="2" r:id="rId2"/>
    <sheet name="Cost Estimates (Averted Cases)" sheetId="5" r:id="rId3"/>
    <sheet name="Summary Tables" sheetId="6" r:id="rId4"/>
    <sheet name="Per case assumptions" sheetId="3" r:id="rId5"/>
  </sheets>
  <definedNames>
    <definedName name="_ftnref1" localSheetId="3">'Summary Tables'!$C$26</definedName>
    <definedName name="_ftnref2" localSheetId="3">'Summary Tables'!$C$30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 i="1" l="1"/>
  <c r="G8" i="1"/>
  <c r="G6" i="1"/>
  <c r="J5" i="2" l="1"/>
  <c r="B15" i="6" l="1"/>
  <c r="E3" i="6"/>
  <c r="D3" i="6"/>
  <c r="C3" i="6"/>
  <c r="B4" i="6"/>
  <c r="B8" i="2"/>
  <c r="B7" i="5"/>
  <c r="B14" i="2"/>
  <c r="B21" i="2" s="1"/>
  <c r="AF29" i="2" s="1"/>
  <c r="B13" i="2"/>
  <c r="S28" i="2" s="1"/>
  <c r="B12" i="2"/>
  <c r="C4" i="6" s="1"/>
  <c r="B20" i="2" l="1"/>
  <c r="V29" i="2" s="1"/>
  <c r="D15" i="6"/>
  <c r="D4" i="6"/>
  <c r="I28" i="2"/>
  <c r="E4" i="6"/>
  <c r="E15" i="6"/>
  <c r="B19" i="2"/>
  <c r="C19" i="2" s="1"/>
  <c r="N29" i="2" s="1"/>
  <c r="N38" i="2" s="1"/>
  <c r="AC28" i="2"/>
  <c r="C15" i="6"/>
  <c r="C21" i="2"/>
  <c r="AH29" i="2" s="1"/>
  <c r="AH38" i="2" s="1"/>
  <c r="U29" i="2"/>
  <c r="V34" i="2"/>
  <c r="L29" i="2" l="1"/>
  <c r="C20" i="2"/>
  <c r="X29" i="2" s="1"/>
  <c r="X38" i="2" s="1"/>
  <c r="N43" i="2"/>
  <c r="X43" i="2"/>
  <c r="AH43" i="2"/>
  <c r="T29" i="2"/>
  <c r="T41" i="2" s="1"/>
  <c r="U41" i="2"/>
  <c r="U34" i="2"/>
  <c r="U33" i="2"/>
  <c r="U35" i="2"/>
  <c r="U40" i="2"/>
  <c r="U32" i="2"/>
  <c r="V32" i="2"/>
  <c r="V40" i="2"/>
  <c r="W29" i="2"/>
  <c r="V41" i="2"/>
  <c r="V33" i="2"/>
  <c r="V35" i="2"/>
  <c r="L33" i="2" l="1"/>
  <c r="L34" i="2"/>
  <c r="L41" i="2"/>
  <c r="M29" i="2"/>
  <c r="L35" i="2"/>
  <c r="J29" i="2"/>
  <c r="L32" i="2"/>
  <c r="L36" i="2" s="1"/>
  <c r="L40" i="2"/>
  <c r="K29" i="2"/>
  <c r="T40" i="2"/>
  <c r="V36" i="2"/>
  <c r="V43" i="2" s="1"/>
  <c r="AE29" i="2"/>
  <c r="AD29" i="2"/>
  <c r="U36" i="2"/>
  <c r="W33" i="2"/>
  <c r="W41" i="2"/>
  <c r="D9" i="6" s="1"/>
  <c r="W32" i="2"/>
  <c r="W40" i="2"/>
  <c r="W35" i="2"/>
  <c r="W34" i="2"/>
  <c r="AF32" i="2"/>
  <c r="AF40" i="2"/>
  <c r="AF35" i="2"/>
  <c r="AG29" i="2"/>
  <c r="AF41" i="2"/>
  <c r="AF34" i="2"/>
  <c r="AF33" i="2"/>
  <c r="L43" i="2" l="1"/>
  <c r="M34" i="2"/>
  <c r="M32" i="2"/>
  <c r="M35" i="2"/>
  <c r="M41" i="2"/>
  <c r="M33" i="2"/>
  <c r="M40" i="2"/>
  <c r="J40" i="2"/>
  <c r="J41" i="2"/>
  <c r="K33" i="2"/>
  <c r="K41" i="2"/>
  <c r="K35" i="2"/>
  <c r="K32" i="2"/>
  <c r="K34" i="2"/>
  <c r="K40" i="2"/>
  <c r="U43" i="2"/>
  <c r="T43" i="2"/>
  <c r="D10" i="6"/>
  <c r="AF36" i="2"/>
  <c r="AF43" i="2" s="1"/>
  <c r="W36" i="2"/>
  <c r="W43" i="2" s="1"/>
  <c r="AG33" i="2"/>
  <c r="AG41" i="2"/>
  <c r="AG40" i="2"/>
  <c r="AG35" i="2"/>
  <c r="AG32" i="2"/>
  <c r="AG34" i="2"/>
  <c r="AD41" i="2"/>
  <c r="AD40" i="2"/>
  <c r="AE41" i="2"/>
  <c r="AE34" i="2"/>
  <c r="AE33" i="2"/>
  <c r="AE32" i="2"/>
  <c r="AE35" i="2"/>
  <c r="AE40" i="2"/>
  <c r="K36" i="2" l="1"/>
  <c r="C9" i="6"/>
  <c r="K43" i="2"/>
  <c r="M36" i="2"/>
  <c r="M43" i="2" s="1"/>
  <c r="J43" i="2"/>
  <c r="C10" i="6"/>
  <c r="S45" i="2"/>
  <c r="AD43" i="2"/>
  <c r="E10" i="6"/>
  <c r="E9" i="6"/>
  <c r="D7" i="6"/>
  <c r="D11" i="6" s="1"/>
  <c r="AG36" i="2"/>
  <c r="AG43" i="2" s="1"/>
  <c r="AE36" i="2"/>
  <c r="C7" i="6" l="1"/>
  <c r="C11" i="6" s="1"/>
  <c r="I45" i="2"/>
  <c r="AE43" i="2"/>
  <c r="AC45" i="2" s="1"/>
  <c r="E7" i="6"/>
  <c r="E11" i="6" s="1"/>
  <c r="L5" i="2" l="1"/>
  <c r="N5" i="2"/>
  <c r="N14" i="2" s="1"/>
  <c r="N19" i="2" s="1"/>
  <c r="I4" i="2"/>
  <c r="B6" i="2"/>
  <c r="B6" i="5" l="1"/>
  <c r="K5" i="2"/>
  <c r="L8" i="2"/>
  <c r="L10" i="2"/>
  <c r="L9" i="2"/>
  <c r="L11" i="2"/>
  <c r="L16" i="2"/>
  <c r="L17" i="2"/>
  <c r="M5" i="2"/>
  <c r="I36" i="3"/>
  <c r="H36" i="3"/>
  <c r="G36" i="3"/>
  <c r="F36" i="3"/>
  <c r="I29" i="3"/>
  <c r="H29" i="3"/>
  <c r="G29" i="3"/>
  <c r="F29" i="3"/>
  <c r="L12" i="2" l="1"/>
  <c r="L19" i="2" s="1"/>
  <c r="K8" i="2"/>
  <c r="K11" i="2"/>
  <c r="K10" i="2"/>
  <c r="K16" i="2"/>
  <c r="K9" i="2"/>
  <c r="K17" i="2"/>
  <c r="M8" i="2"/>
  <c r="M16" i="2"/>
  <c r="M17" i="2"/>
  <c r="M11" i="2"/>
  <c r="M10" i="2"/>
  <c r="M9" i="2"/>
  <c r="M12" i="2" l="1"/>
  <c r="M19" i="2" s="1"/>
  <c r="J16" i="2"/>
  <c r="J17" i="2"/>
  <c r="B9" i="6" s="1"/>
  <c r="K12" i="2"/>
  <c r="E15" i="1"/>
  <c r="A15" i="5" s="1"/>
  <c r="E14" i="1"/>
  <c r="A14" i="5" s="1"/>
  <c r="E13" i="1"/>
  <c r="A13" i="5" s="1"/>
  <c r="A20" i="5" l="1"/>
  <c r="A21" i="5"/>
  <c r="A22" i="5"/>
  <c r="K19" i="2"/>
  <c r="B7" i="6"/>
  <c r="J19" i="2"/>
  <c r="B10" i="6"/>
  <c r="B8" i="1"/>
  <c r="B10" i="1" s="1"/>
  <c r="B12" i="1" s="1"/>
  <c r="B13" i="1" s="1"/>
  <c r="B7" i="1"/>
  <c r="I21" i="2" l="1"/>
  <c r="B11" i="6"/>
  <c r="B4" i="5" l="1"/>
  <c r="B16" i="6"/>
  <c r="F13" i="1"/>
  <c r="F14" i="1"/>
  <c r="F15" i="1"/>
  <c r="B15" i="5" l="1"/>
  <c r="AC28" i="5" s="1"/>
  <c r="E16" i="6"/>
  <c r="B14" i="5"/>
  <c r="S28" i="5" s="1"/>
  <c r="D16" i="6"/>
  <c r="C16" i="6"/>
  <c r="B13" i="5"/>
  <c r="I28" i="5" s="1"/>
  <c r="I4" i="5"/>
  <c r="B5" i="5"/>
  <c r="B22" i="5" l="1"/>
  <c r="L5" i="5"/>
  <c r="B21" i="5"/>
  <c r="B20" i="5"/>
  <c r="K5" i="5" l="1"/>
  <c r="K16" i="5" s="1"/>
  <c r="N5" i="5"/>
  <c r="J5" i="5"/>
  <c r="J17" i="5" s="1"/>
  <c r="C21" i="5"/>
  <c r="X29" i="5" s="1"/>
  <c r="X38" i="5" s="1"/>
  <c r="V29" i="5"/>
  <c r="C22" i="5"/>
  <c r="AH29" i="5" s="1"/>
  <c r="AH38" i="5" s="1"/>
  <c r="AF29" i="5"/>
  <c r="L29" i="5"/>
  <c r="C20" i="5"/>
  <c r="N29" i="5" s="1"/>
  <c r="N38" i="5" s="1"/>
  <c r="L11" i="5"/>
  <c r="N14" i="5"/>
  <c r="L9" i="5"/>
  <c r="L17" i="5"/>
  <c r="L10" i="5"/>
  <c r="L16" i="5"/>
  <c r="L8" i="5"/>
  <c r="K10" i="5" l="1"/>
  <c r="K8" i="5"/>
  <c r="K12" i="5" s="1"/>
  <c r="K19" i="5" s="1"/>
  <c r="K11" i="5"/>
  <c r="K9" i="5"/>
  <c r="K17" i="5"/>
  <c r="M5" i="5"/>
  <c r="M17" i="5" s="1"/>
  <c r="B21" i="6" s="1"/>
  <c r="L12" i="5"/>
  <c r="L19" i="5" s="1"/>
  <c r="J16" i="5"/>
  <c r="J19" i="5" s="1"/>
  <c r="M29" i="5"/>
  <c r="L33" i="5"/>
  <c r="L41" i="5"/>
  <c r="L34" i="5"/>
  <c r="L32" i="5"/>
  <c r="L40" i="5"/>
  <c r="L35" i="5"/>
  <c r="J29" i="5"/>
  <c r="K29" i="5"/>
  <c r="N19" i="5"/>
  <c r="V40" i="5"/>
  <c r="V34" i="5"/>
  <c r="V33" i="5"/>
  <c r="V41" i="5"/>
  <c r="V35" i="5"/>
  <c r="W29" i="5"/>
  <c r="V32" i="5"/>
  <c r="U29" i="5"/>
  <c r="T29" i="5"/>
  <c r="AH43" i="5"/>
  <c r="N43" i="5"/>
  <c r="AF41" i="5"/>
  <c r="AG29" i="5"/>
  <c r="AF34" i="5"/>
  <c r="AF33" i="5"/>
  <c r="AF40" i="5"/>
  <c r="AF35" i="5"/>
  <c r="AF32" i="5"/>
  <c r="AD29" i="5"/>
  <c r="AE29" i="5"/>
  <c r="X43" i="5"/>
  <c r="M8" i="5" l="1"/>
  <c r="M11" i="5"/>
  <c r="M9" i="5"/>
  <c r="M10" i="5"/>
  <c r="M16" i="5"/>
  <c r="B22" i="6" s="1"/>
  <c r="AF36" i="5"/>
  <c r="AF43" i="5" s="1"/>
  <c r="T41" i="5"/>
  <c r="T40" i="5"/>
  <c r="J41" i="5"/>
  <c r="J40" i="5"/>
  <c r="AG33" i="5"/>
  <c r="AG34" i="5"/>
  <c r="AG41" i="5"/>
  <c r="AG32" i="5"/>
  <c r="AG40" i="5"/>
  <c r="AG35" i="5"/>
  <c r="U41" i="5"/>
  <c r="U32" i="5"/>
  <c r="U40" i="5"/>
  <c r="U35" i="5"/>
  <c r="U34" i="5"/>
  <c r="U33" i="5"/>
  <c r="AE34" i="5"/>
  <c r="AE40" i="5"/>
  <c r="AE35" i="5"/>
  <c r="AE33" i="5"/>
  <c r="AE41" i="5"/>
  <c r="AE32" i="5"/>
  <c r="V36" i="5"/>
  <c r="V43" i="5" s="1"/>
  <c r="AD41" i="5"/>
  <c r="AD40" i="5"/>
  <c r="W41" i="5"/>
  <c r="W35" i="5"/>
  <c r="W40" i="5"/>
  <c r="W33" i="5"/>
  <c r="W32" i="5"/>
  <c r="W34" i="5"/>
  <c r="K33" i="5"/>
  <c r="K41" i="5"/>
  <c r="K32" i="5"/>
  <c r="K34" i="5"/>
  <c r="K40" i="5"/>
  <c r="K35" i="5"/>
  <c r="L36" i="5"/>
  <c r="L43" i="5" s="1"/>
  <c r="M33" i="5"/>
  <c r="M34" i="5"/>
  <c r="M35" i="5"/>
  <c r="M32" i="5"/>
  <c r="M41" i="5"/>
  <c r="M40" i="5"/>
  <c r="M12" i="5" l="1"/>
  <c r="M19" i="5" s="1"/>
  <c r="I21" i="5" s="1"/>
  <c r="E21" i="6"/>
  <c r="AG36" i="5"/>
  <c r="AG43" i="5" s="1"/>
  <c r="B19" i="6"/>
  <c r="B23" i="6" s="1"/>
  <c r="AE36" i="5"/>
  <c r="AE43" i="5" s="1"/>
  <c r="K36" i="5"/>
  <c r="AD43" i="5"/>
  <c r="E22" i="6"/>
  <c r="W36" i="5"/>
  <c r="W43" i="5" s="1"/>
  <c r="J43" i="5"/>
  <c r="C22" i="6"/>
  <c r="T43" i="5"/>
  <c r="D22" i="6"/>
  <c r="M36" i="5"/>
  <c r="M43" i="5" s="1"/>
  <c r="U36" i="5"/>
  <c r="C21" i="6"/>
  <c r="D21" i="6"/>
  <c r="E19" i="6" l="1"/>
  <c r="E23" i="6" s="1"/>
  <c r="AC45" i="5"/>
  <c r="U43" i="5"/>
  <c r="S45" i="5" s="1"/>
  <c r="D19" i="6"/>
  <c r="D23" i="6" s="1"/>
  <c r="K43" i="5"/>
  <c r="I45" i="5" s="1"/>
  <c r="C19" i="6"/>
  <c r="C23" i="6" s="1"/>
</calcChain>
</file>

<file path=xl/sharedStrings.xml><?xml version="1.0" encoding="utf-8"?>
<sst xmlns="http://schemas.openxmlformats.org/spreadsheetml/2006/main" count="361" uniqueCount="118">
  <si>
    <t>Lbs distributed</t>
  </si>
  <si>
    <t>Lbs recovered</t>
  </si>
  <si>
    <t>% recovered</t>
  </si>
  <si>
    <t>Lbs available for consumption</t>
  </si>
  <si>
    <t>Fraction of product consumed</t>
  </si>
  <si>
    <t>Lbs consumed</t>
  </si>
  <si>
    <t>Outbreak cases reported</t>
  </si>
  <si>
    <t>Cases / 1,000 lbs consumed</t>
  </si>
  <si>
    <t>Source</t>
  </si>
  <si>
    <t>LINK</t>
  </si>
  <si>
    <t>Calculated</t>
  </si>
  <si>
    <t>Success story write-up</t>
  </si>
  <si>
    <t>Hospitalizations</t>
  </si>
  <si>
    <t>% Hospitalizations</t>
  </si>
  <si>
    <t>(low)</t>
  </si>
  <si>
    <t>(high)</t>
  </si>
  <si>
    <t>Under-diagnosis multiplier*</t>
  </si>
  <si>
    <t>Raw Calculations</t>
  </si>
  <si>
    <t>Sensitivity Analysis</t>
  </si>
  <si>
    <t>Cases averted</t>
  </si>
  <si>
    <t>Cases Averted using Underdiagnosis Multiplier</t>
  </si>
  <si>
    <t>Cases by outcome</t>
  </si>
  <si>
    <t>Physician office visits</t>
  </si>
  <si>
    <t>Emergency room visits</t>
  </si>
  <si>
    <t>Outpatient clinic visits</t>
  </si>
  <si>
    <t>Total medical costs by outcome</t>
  </si>
  <si>
    <t>Non-hospitalized</t>
  </si>
  <si>
    <t>Hospitalized</t>
  </si>
  <si>
    <t>Post-hospitalization outcomes</t>
  </si>
  <si>
    <r>
      <t>Health outcome</t>
    </r>
    <r>
      <rPr>
        <b/>
        <sz val="11"/>
        <color theme="1"/>
        <rFont val="Calibri"/>
        <family val="2"/>
        <scheme val="minor"/>
      </rPr>
      <t>s</t>
    </r>
  </si>
  <si>
    <t>Total cases</t>
  </si>
  <si>
    <t>Didn't visit physician; recovered</t>
  </si>
  <si>
    <t>Visited physician; recovered</t>
  </si>
  <si>
    <t>Post-hospitalization recovery</t>
  </si>
  <si>
    <t>Hospitalized; died</t>
  </si>
  <si>
    <t>Citation: Economic Research Service (ERS), U.S. Department of Agriculture (USDA). Cost Estimates of Foodborne Illnesses. http://ers.usda.gov/data-products/cost-estimates-of-foodborne-illnesses.aspx.</t>
  </si>
  <si>
    <t>Citation: Economic Research Service (ERS), U.S. Department of Agriculture (USDA). Cost Estimates of Foodborne Illnesses. 
http://ers.usda.gov/data-products/cost-estimates-of-foodborne-illnesses.aspx.</t>
  </si>
  <si>
    <t>Number of cases</t>
  </si>
  <si>
    <t>Medical costs</t>
  </si>
  <si>
    <t>Premature death</t>
  </si>
  <si>
    <t>Productivity loss, nonfatal cases</t>
  </si>
  <si>
    <t>Total cost by outcome</t>
  </si>
  <si>
    <t>Total cost of illness</t>
  </si>
  <si>
    <t>Reported (No under-diagnosis)</t>
  </si>
  <si>
    <t>low</t>
  </si>
  <si>
    <t>mean</t>
  </si>
  <si>
    <t>high</t>
  </si>
  <si>
    <t>Cost component</t>
  </si>
  <si>
    <t>Average visits per case</t>
  </si>
  <si>
    <t>Average cost per visit</t>
  </si>
  <si>
    <t>Average admissions per case</t>
  </si>
  <si>
    <t>Average cost per hospitalization</t>
  </si>
  <si>
    <t>Total Cost per case</t>
  </si>
  <si>
    <t>Proportion of cases employed</t>
  </si>
  <si>
    <t>Average number of work days lost</t>
  </si>
  <si>
    <t>Average daily earnings</t>
  </si>
  <si>
    <t>Productivity loss per case</t>
  </si>
  <si>
    <t>low value per death</t>
  </si>
  <si>
    <t>mean value per death</t>
  </si>
  <si>
    <t>high value per death</t>
  </si>
  <si>
    <t>Note: Users may change the assumptions in this worksheet to conduct sensitivity analysis on the influence of specific per-case assumptions. They may also update per-case costs in this worksheet for inflation and income growth by using information from the Consumer Price Indexes Excel spreadsheet and the VSL Excel spreadsheet provided as part of this data product. See the Documentation page of this data product for further guidance.</t>
  </si>
  <si>
    <t>Source: This spreadsheet is based on:</t>
  </si>
  <si>
    <r>
      <t xml:space="preserve">Hoffmann, Sandra, Michael Batz, J. Glenn Morris Jr.  2012.  “Annual Cost of Illness and Quality-Adjusted Life Year Losses in the United States Due to 14 Foodborne Pathogens.” </t>
    </r>
    <r>
      <rPr>
        <i/>
        <sz val="11"/>
        <color theme="1"/>
        <rFont val="Calibri"/>
        <family val="2"/>
        <scheme val="minor"/>
      </rPr>
      <t xml:space="preserve">J. Food Protection </t>
    </r>
    <r>
      <rPr>
        <sz val="11"/>
        <color theme="1"/>
        <rFont val="Calibri"/>
        <family val="2"/>
        <scheme val="minor"/>
      </rPr>
      <t>75(7): 1291-1302; and</t>
    </r>
  </si>
  <si>
    <r>
      <t>Batz, Michael B., Sandra A. Hoffmann, J. Glenn Morris Jr. 2014</t>
    </r>
    <r>
      <rPr>
        <i/>
        <sz val="11"/>
        <color theme="1"/>
        <rFont val="Calibri"/>
        <family val="2"/>
        <scheme val="minor"/>
      </rPr>
      <t xml:space="preserve">. </t>
    </r>
    <r>
      <rPr>
        <sz val="11"/>
        <color theme="1"/>
        <rFont val="Calibri"/>
        <family val="2"/>
        <scheme val="minor"/>
      </rPr>
      <t xml:space="preserve">Disease-Outcome Trees, EQ-5D Scores, and Estimated Annual Losses of Quality-Adjusted Life Years (QALYs) Due to 14 Foodborne Pathogens in the United States.  </t>
    </r>
    <r>
      <rPr>
        <i/>
        <sz val="11"/>
        <color theme="1"/>
        <rFont val="Calibri"/>
        <family val="2"/>
        <scheme val="minor"/>
      </rPr>
      <t xml:space="preserve">Foodborne Pathogen and Disease </t>
    </r>
    <r>
      <rPr>
        <sz val="11"/>
        <color rgb="FF000000"/>
        <rFont val="Calibri"/>
        <family val="2"/>
        <scheme val="minor"/>
      </rPr>
      <t>11(5): 395-402</t>
    </r>
    <r>
      <rPr>
        <i/>
        <sz val="10"/>
        <color theme="1"/>
        <rFont val="Calibri"/>
        <family val="2"/>
        <scheme val="minor"/>
      </rPr>
      <t>.</t>
    </r>
  </si>
  <si>
    <t>ELC</t>
  </si>
  <si>
    <t>% Physician visit</t>
  </si>
  <si>
    <t>USDA/ERC</t>
  </si>
  <si>
    <t>Hospitalized Deaths</t>
  </si>
  <si>
    <t>(total working days lost)</t>
  </si>
  <si>
    <t>Total Reported Cases (8 states)</t>
  </si>
  <si>
    <t>Low</t>
  </si>
  <si>
    <t>Mid</t>
  </si>
  <si>
    <t>High</t>
  </si>
  <si>
    <t>Reported Cases plus under-diagnosis</t>
  </si>
  <si>
    <t>% Hospitalized (under-diagnosed only)</t>
  </si>
  <si>
    <t>Reported (with LOW under-diagnosis)</t>
  </si>
  <si>
    <t>Reported (with MID under-diagnosis)</t>
  </si>
  <si>
    <t>Reported (with HIGH under-diagnosis)</t>
  </si>
  <si>
    <t>Total Averted Cases (8 states)</t>
  </si>
  <si>
    <t>Assumption</t>
  </si>
  <si>
    <t>% Hospitalized Deaths</t>
  </si>
  <si>
    <t>Total cases averted</t>
  </si>
  <si>
    <t>Reported (with LOW under-diagnosis) (MID Fraction Consumed)</t>
  </si>
  <si>
    <t>Hospitalized Cases including hospitalized under-diagnosis</t>
  </si>
  <si>
    <t>Reported (with MID under-diagnosis) (MID Fraction Consumed)</t>
  </si>
  <si>
    <t>Reported (with HIGH under-diagnosis) (MID Fraction Consumed)</t>
  </si>
  <si>
    <t>Reported Cases</t>
  </si>
  <si>
    <t>None</t>
  </si>
  <si>
    <t># of cases reported</t>
  </si>
  <si>
    <t>Under-diagnosis correction factor</t>
  </si>
  <si>
    <t>Under-diagnosis correction scenario</t>
  </si>
  <si>
    <t>Medical Costs</t>
  </si>
  <si>
    <t>Productivity Loss, nonfatal cases</t>
  </si>
  <si>
    <t>Total Economic Loss ($US)</t>
  </si>
  <si>
    <t>Economic Impact (Reported Cases)</t>
  </si>
  <si>
    <t># of cases averted</t>
  </si>
  <si>
    <t>Total Lost Working Days</t>
  </si>
  <si>
    <t>Averted Cases (No under-diagnosis) (MID Fraction Consumed)</t>
  </si>
  <si>
    <t>Economic Impact of Cases Averted</t>
  </si>
  <si>
    <t>Fraction of available product consumed</t>
  </si>
  <si>
    <t>Averted Cases (MIDDLE Fraction of Available Product Consumed)</t>
  </si>
  <si>
    <t>Per case assumptions for 2018 cost of foodborne illness estimates (in 2018 dollars)</t>
  </si>
  <si>
    <t>**Adjusted to 2018 dollars using unpublished data from USDA.</t>
  </si>
  <si>
    <t>*Adjustment for under-diagnosis due to variations in medical care seeking, specimen submission, laboratory testing, and test sensitivity.</t>
  </si>
  <si>
    <t>Source: https://wwwnc.cdc.gov/eid/article/17/1/p1-1101-techapp3.pdf</t>
  </si>
  <si>
    <t>Hospitalized, died*</t>
  </si>
  <si>
    <t>*Total hospitalized deaths accounting for under-diagnosis. Assumed same rate of hospitalized deaths as in base case.</t>
  </si>
  <si>
    <t>% Hospitalized (among under-diagnosed only)</t>
  </si>
  <si>
    <r>
      <t xml:space="preserve">Cost of foodborne illness estimates for </t>
    </r>
    <r>
      <rPr>
        <b/>
        <i/>
        <sz val="11"/>
        <color theme="1"/>
        <rFont val="Calibri"/>
        <family val="2"/>
        <scheme val="minor"/>
      </rPr>
      <t xml:space="preserve">Salmonella </t>
    </r>
    <r>
      <rPr>
        <b/>
        <sz val="11"/>
        <color theme="1"/>
        <rFont val="Calibri"/>
        <family val="2"/>
        <scheme val="minor"/>
      </rPr>
      <t xml:space="preserve">(non-typhoidal) </t>
    </r>
  </si>
  <si>
    <t>See Appendix A</t>
  </si>
  <si>
    <t>Varying Fraction of Available Product Consumed</t>
  </si>
  <si>
    <t>Estimated Hospitalizations and Hospitalized Deaths* Averted using Underdiagnosis Multiplier</t>
  </si>
  <si>
    <t>Hospitalized Deaths*</t>
  </si>
  <si>
    <t>Total Cost of Illness*</t>
  </si>
  <si>
    <t>* Cost of premature death is not included in the Total Cost of Illness for these Summary Tables. (See Technical Appendix for additional details.)</t>
  </si>
  <si>
    <t>Article DOI: https://doi.org/10.3201/eid2806.211633</t>
  </si>
  <si>
    <t>Public Health Response to Multistate Salmonella Typhimurium Outbreak Associated with Prepackaged Chicken Salad, United States, 2018</t>
  </si>
  <si>
    <t>Appendix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</si>
</sst>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0.0%"/>
    <numFmt numFmtId="166" formatCode="0.0"/>
    <numFmt numFmtId="167" formatCode="&quot;$&quot;#,##0"/>
    <numFmt numFmtId="168" formatCode="&quot;$&quot;#,##0.00"/>
    <numFmt numFmtId="169"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i/>
      <sz val="11"/>
      <color theme="1"/>
      <name val="Calibri"/>
      <family val="2"/>
      <scheme val="minor"/>
    </font>
    <font>
      <b/>
      <sz val="12"/>
      <color theme="1"/>
      <name val="Calibri"/>
      <family val="2"/>
      <scheme val="minor"/>
    </font>
    <font>
      <sz val="9"/>
      <color theme="1"/>
      <name val="Calibri"/>
      <family val="2"/>
      <scheme val="minor"/>
    </font>
    <font>
      <b/>
      <i/>
      <sz val="11"/>
      <color theme="1"/>
      <name val="Calibri"/>
      <family val="2"/>
      <scheme val="minor"/>
    </font>
    <font>
      <sz val="11"/>
      <color rgb="FF000000"/>
      <name val="Calibri"/>
      <family val="2"/>
      <scheme val="minor"/>
    </font>
    <font>
      <i/>
      <sz val="10"/>
      <color theme="1"/>
      <name val="Calibri"/>
      <family val="2"/>
      <scheme val="minor"/>
    </font>
    <font>
      <b/>
      <sz val="11"/>
      <color theme="0"/>
      <name val="Calibri"/>
      <family val="2"/>
      <scheme val="minor"/>
    </font>
    <font>
      <b/>
      <sz val="11"/>
      <color theme="2" tint="-9.9978637043366805E-2"/>
      <name val="Calibri"/>
      <family val="2"/>
      <scheme val="minor"/>
    </font>
    <font>
      <sz val="11"/>
      <color theme="2" tint="-9.9978637043366805E-2"/>
      <name val="Calibri"/>
      <family val="2"/>
      <scheme val="minor"/>
    </font>
    <font>
      <i/>
      <u/>
      <sz val="9"/>
      <color theme="10"/>
      <name val="Calibri"/>
      <family val="2"/>
      <scheme val="minor"/>
    </font>
    <font>
      <i/>
      <sz val="11"/>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theme="4" tint="-0.49998474074526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9" tint="0.59999389629810485"/>
        <bgColor indexed="64"/>
      </patternFill>
    </fill>
  </fills>
  <borders count="61">
    <border>
      <left/>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double">
        <color indexed="64"/>
      </bottom>
      <diagonal/>
    </border>
    <border>
      <left style="thin">
        <color indexed="64"/>
      </left>
      <right style="thin">
        <color indexed="64"/>
      </right>
      <top/>
      <bottom style="double">
        <color indexed="64"/>
      </bottom>
      <diagonal/>
    </border>
    <border>
      <left/>
      <right style="medium">
        <color indexed="64"/>
      </right>
      <top style="thin">
        <color indexed="64"/>
      </top>
      <bottom/>
      <diagonal/>
    </border>
    <border>
      <left style="thin">
        <color indexed="64"/>
      </left>
      <right/>
      <top/>
      <bottom style="double">
        <color indexed="64"/>
      </bottom>
      <diagonal/>
    </border>
    <border>
      <left/>
      <right/>
      <top style="double">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top/>
      <bottom style="medium">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44" fontId="1" fillId="0" borderId="0" applyFont="0" applyFill="0" applyBorder="0" applyAlignment="0" applyProtection="0"/>
  </cellStyleXfs>
  <cellXfs count="285">
    <xf numFmtId="0" fontId="0" fillId="0" borderId="0" xfId="0"/>
    <xf numFmtId="0" fontId="0" fillId="4" borderId="0" xfId="0" applyFill="1"/>
    <xf numFmtId="0" fontId="0" fillId="0" borderId="4" xfId="0" applyBorder="1"/>
    <xf numFmtId="0" fontId="0" fillId="0" borderId="5" xfId="0" applyBorder="1"/>
    <xf numFmtId="0" fontId="2" fillId="0" borderId="12" xfId="0" applyFont="1" applyBorder="1" applyAlignment="1">
      <alignment horizontal="center"/>
    </xf>
    <xf numFmtId="0" fontId="0" fillId="0" borderId="7" xfId="0" applyBorder="1"/>
    <xf numFmtId="0" fontId="3" fillId="2" borderId="13" xfId="3" applyFill="1" applyBorder="1" applyAlignment="1">
      <alignment horizontal="center"/>
    </xf>
    <xf numFmtId="0" fontId="0" fillId="3" borderId="13" xfId="0" applyFill="1" applyBorder="1" applyAlignment="1">
      <alignment horizontal="center"/>
    </xf>
    <xf numFmtId="0" fontId="0" fillId="2" borderId="13" xfId="0" applyFill="1" applyBorder="1" applyAlignment="1">
      <alignment horizontal="center"/>
    </xf>
    <xf numFmtId="0" fontId="3" fillId="2" borderId="12" xfId="3" applyFill="1" applyBorder="1" applyAlignment="1">
      <alignment horizontal="center"/>
    </xf>
    <xf numFmtId="0" fontId="0" fillId="5" borderId="14" xfId="0" applyFill="1" applyBorder="1"/>
    <xf numFmtId="166" fontId="0" fillId="5" borderId="15" xfId="0" applyNumberFormat="1" applyFill="1" applyBorder="1" applyAlignment="1">
      <alignment horizontal="center"/>
    </xf>
    <xf numFmtId="164" fontId="0" fillId="2" borderId="16" xfId="1" applyNumberFormat="1" applyFont="1" applyFill="1" applyBorder="1"/>
    <xf numFmtId="164" fontId="0" fillId="2" borderId="17" xfId="1" applyNumberFormat="1" applyFont="1" applyFill="1" applyBorder="1"/>
    <xf numFmtId="165" fontId="0" fillId="3" borderId="17" xfId="2" applyNumberFormat="1" applyFont="1" applyFill="1" applyBorder="1"/>
    <xf numFmtId="164" fontId="0" fillId="3" borderId="17" xfId="1" applyNumberFormat="1" applyFont="1" applyFill="1" applyBorder="1"/>
    <xf numFmtId="43" fontId="0" fillId="3" borderId="17" xfId="0" applyNumberFormat="1" applyFill="1" applyBorder="1"/>
    <xf numFmtId="0" fontId="2" fillId="0" borderId="0" xfId="0" applyFont="1"/>
    <xf numFmtId="0" fontId="0" fillId="0" borderId="21" xfId="0" applyBorder="1"/>
    <xf numFmtId="0" fontId="0" fillId="0" borderId="29" xfId="0" applyBorder="1"/>
    <xf numFmtId="0" fontId="0" fillId="0" borderId="30" xfId="0" applyBorder="1"/>
    <xf numFmtId="0" fontId="2" fillId="0" borderId="29" xfId="0" applyFont="1" applyBorder="1"/>
    <xf numFmtId="0" fontId="2" fillId="0" borderId="30" xfId="0" applyFont="1" applyBorder="1"/>
    <xf numFmtId="0" fontId="0" fillId="0" borderId="9" xfId="0" applyBorder="1"/>
    <xf numFmtId="0" fontId="0" fillId="0" borderId="10" xfId="0" applyBorder="1"/>
    <xf numFmtId="3" fontId="0" fillId="0" borderId="17" xfId="0" applyNumberFormat="1" applyBorder="1" applyAlignment="1">
      <alignment horizontal="right" wrapText="1"/>
    </xf>
    <xf numFmtId="0" fontId="0" fillId="0" borderId="1" xfId="0" applyBorder="1"/>
    <xf numFmtId="0" fontId="0" fillId="0" borderId="17" xfId="0" applyBorder="1"/>
    <xf numFmtId="3" fontId="0" fillId="0" borderId="36" xfId="0" applyNumberFormat="1" applyBorder="1"/>
    <xf numFmtId="3" fontId="0" fillId="0" borderId="37" xfId="0" applyNumberFormat="1" applyBorder="1" applyAlignment="1">
      <alignment horizontal="right"/>
    </xf>
    <xf numFmtId="3" fontId="0" fillId="0" borderId="22" xfId="0" applyNumberFormat="1" applyBorder="1" applyAlignment="1">
      <alignment horizontal="right"/>
    </xf>
    <xf numFmtId="3" fontId="0" fillId="0" borderId="36" xfId="0" applyNumberFormat="1" applyBorder="1" applyAlignment="1">
      <alignment horizontal="right"/>
    </xf>
    <xf numFmtId="3" fontId="0" fillId="0" borderId="3" xfId="0" applyNumberFormat="1" applyBorder="1"/>
    <xf numFmtId="10" fontId="0" fillId="0" borderId="3" xfId="0" applyNumberFormat="1" applyBorder="1" applyAlignment="1">
      <alignment horizontal="right"/>
    </xf>
    <xf numFmtId="10" fontId="0" fillId="0" borderId="2" xfId="0" applyNumberFormat="1" applyBorder="1" applyAlignment="1">
      <alignment horizontal="right"/>
    </xf>
    <xf numFmtId="10" fontId="0" fillId="0" borderId="38" xfId="0" applyNumberFormat="1" applyBorder="1" applyAlignment="1">
      <alignment horizontal="right"/>
    </xf>
    <xf numFmtId="10" fontId="0" fillId="0" borderId="1" xfId="0" applyNumberFormat="1" applyBorder="1" applyAlignment="1">
      <alignment horizontal="right"/>
    </xf>
    <xf numFmtId="10" fontId="0" fillId="0" borderId="0" xfId="0" applyNumberFormat="1" applyAlignment="1">
      <alignment horizontal="right"/>
    </xf>
    <xf numFmtId="10" fontId="0" fillId="0" borderId="17" xfId="0" applyNumberFormat="1" applyBorder="1" applyAlignment="1">
      <alignment horizontal="right"/>
    </xf>
    <xf numFmtId="167" fontId="0" fillId="0" borderId="17" xfId="0" applyNumberFormat="1" applyBorder="1"/>
    <xf numFmtId="167" fontId="0" fillId="0" borderId="21" xfId="0" applyNumberFormat="1" applyBorder="1"/>
    <xf numFmtId="167" fontId="0" fillId="0" borderId="1" xfId="0" applyNumberFormat="1" applyBorder="1"/>
    <xf numFmtId="167" fontId="0" fillId="0" borderId="2" xfId="0" applyNumberFormat="1" applyBorder="1"/>
    <xf numFmtId="167" fontId="0" fillId="0" borderId="38" xfId="0" applyNumberFormat="1" applyBorder="1"/>
    <xf numFmtId="0" fontId="2" fillId="0" borderId="16" xfId="0" applyFont="1" applyBorder="1"/>
    <xf numFmtId="0" fontId="2" fillId="0" borderId="43" xfId="0" applyFont="1" applyBorder="1"/>
    <xf numFmtId="8" fontId="0" fillId="0" borderId="0" xfId="0" applyNumberFormat="1"/>
    <xf numFmtId="8" fontId="0" fillId="0" borderId="17" xfId="0" applyNumberFormat="1" applyBorder="1"/>
    <xf numFmtId="6" fontId="0" fillId="0" borderId="21" xfId="0" applyNumberFormat="1" applyBorder="1"/>
    <xf numFmtId="6" fontId="0" fillId="0" borderId="0" xfId="0" applyNumberFormat="1"/>
    <xf numFmtId="6" fontId="0" fillId="0" borderId="17" xfId="0" applyNumberFormat="1" applyBorder="1"/>
    <xf numFmtId="6" fontId="0" fillId="0" borderId="3" xfId="0" applyNumberFormat="1" applyBorder="1"/>
    <xf numFmtId="6" fontId="0" fillId="0" borderId="25" xfId="0" applyNumberFormat="1" applyBorder="1"/>
    <xf numFmtId="6" fontId="0" fillId="0" borderId="38" xfId="0" applyNumberFormat="1" applyBorder="1"/>
    <xf numFmtId="6" fontId="0" fillId="0" borderId="2" xfId="0" applyNumberFormat="1" applyBorder="1"/>
    <xf numFmtId="0" fontId="0" fillId="0" borderId="44" xfId="0" applyBorder="1"/>
    <xf numFmtId="6" fontId="0" fillId="0" borderId="45" xfId="0" applyNumberFormat="1" applyBorder="1"/>
    <xf numFmtId="0" fontId="2" fillId="0" borderId="17" xfId="0" applyFont="1" applyBorder="1"/>
    <xf numFmtId="0" fontId="2" fillId="0" borderId="3" xfId="0" applyFont="1" applyBorder="1" applyAlignment="1">
      <alignment wrapText="1"/>
    </xf>
    <xf numFmtId="0" fontId="2" fillId="0" borderId="2" xfId="0" applyFont="1" applyBorder="1" applyAlignment="1">
      <alignment wrapText="1"/>
    </xf>
    <xf numFmtId="0" fontId="2" fillId="0" borderId="38" xfId="0" applyFont="1" applyBorder="1" applyAlignment="1">
      <alignment wrapText="1"/>
    </xf>
    <xf numFmtId="0" fontId="2" fillId="0" borderId="46" xfId="0" applyFont="1" applyBorder="1" applyAlignment="1">
      <alignment wrapText="1"/>
    </xf>
    <xf numFmtId="0" fontId="7" fillId="0" borderId="0" xfId="0" applyFont="1" applyAlignment="1">
      <alignment horizontal="left"/>
    </xf>
    <xf numFmtId="0" fontId="4" fillId="0" borderId="17" xfId="0" applyFont="1" applyBorder="1"/>
    <xf numFmtId="166" fontId="4" fillId="0" borderId="0" xfId="0" applyNumberFormat="1" applyFont="1"/>
    <xf numFmtId="166" fontId="4" fillId="0" borderId="17" xfId="0" applyNumberFormat="1" applyFont="1" applyBorder="1"/>
    <xf numFmtId="167" fontId="0" fillId="0" borderId="23" xfId="0" applyNumberFormat="1" applyBorder="1"/>
    <xf numFmtId="167" fontId="0" fillId="0" borderId="36" xfId="0" applyNumberFormat="1" applyBorder="1"/>
    <xf numFmtId="0" fontId="2" fillId="0" borderId="7" xfId="0" applyFont="1" applyBorder="1"/>
    <xf numFmtId="0" fontId="0" fillId="0" borderId="8" xfId="0" applyBorder="1"/>
    <xf numFmtId="3" fontId="0" fillId="0" borderId="32" xfId="0" applyNumberFormat="1" applyBorder="1" applyAlignment="1">
      <alignment horizontal="right"/>
    </xf>
    <xf numFmtId="10" fontId="0" fillId="0" borderId="46" xfId="0" applyNumberFormat="1" applyBorder="1" applyAlignment="1">
      <alignment horizontal="right"/>
    </xf>
    <xf numFmtId="10" fontId="0" fillId="0" borderId="8" xfId="0" applyNumberFormat="1" applyBorder="1" applyAlignment="1">
      <alignment horizontal="right"/>
    </xf>
    <xf numFmtId="167" fontId="0" fillId="0" borderId="8" xfId="0" applyNumberFormat="1" applyBorder="1"/>
    <xf numFmtId="6" fontId="0" fillId="0" borderId="8" xfId="0" applyNumberFormat="1" applyBorder="1"/>
    <xf numFmtId="6" fontId="0" fillId="0" borderId="46" xfId="0" applyNumberFormat="1" applyBorder="1"/>
    <xf numFmtId="0" fontId="2" fillId="0" borderId="49" xfId="0" applyFont="1" applyBorder="1"/>
    <xf numFmtId="0" fontId="0" fillId="0" borderId="50" xfId="0" applyBorder="1"/>
    <xf numFmtId="0" fontId="2" fillId="0" borderId="17" xfId="0" applyFont="1" applyBorder="1" applyAlignment="1">
      <alignment wrapText="1"/>
    </xf>
    <xf numFmtId="0" fontId="2" fillId="4" borderId="0" xfId="0" applyFont="1" applyFill="1"/>
    <xf numFmtId="0" fontId="0" fillId="4" borderId="0" xfId="1" applyNumberFormat="1" applyFont="1" applyFill="1"/>
    <xf numFmtId="0" fontId="0" fillId="7" borderId="0" xfId="0" applyFill="1"/>
    <xf numFmtId="165" fontId="0" fillId="7" borderId="0" xfId="2" applyNumberFormat="1" applyFont="1" applyFill="1"/>
    <xf numFmtId="10" fontId="0" fillId="7" borderId="0" xfId="2" applyNumberFormat="1" applyFont="1" applyFill="1"/>
    <xf numFmtId="0" fontId="2" fillId="7" borderId="29" xfId="0" applyFont="1" applyFill="1" applyBorder="1"/>
    <xf numFmtId="0" fontId="2" fillId="7" borderId="30" xfId="0" applyFont="1" applyFill="1" applyBorder="1"/>
    <xf numFmtId="164" fontId="0" fillId="7" borderId="8" xfId="1" applyNumberFormat="1" applyFont="1" applyFill="1" applyBorder="1"/>
    <xf numFmtId="0" fontId="0" fillId="7" borderId="6" xfId="0" applyFill="1" applyBorder="1"/>
    <xf numFmtId="0" fontId="4" fillId="7" borderId="8" xfId="0" applyFont="1" applyFill="1" applyBorder="1"/>
    <xf numFmtId="10" fontId="0" fillId="7" borderId="10" xfId="2" applyNumberFormat="1" applyFont="1" applyFill="1" applyBorder="1"/>
    <xf numFmtId="10" fontId="0" fillId="7" borderId="53" xfId="0" applyNumberFormat="1" applyFill="1" applyBorder="1"/>
    <xf numFmtId="0" fontId="0" fillId="7" borderId="54" xfId="0" applyFill="1" applyBorder="1"/>
    <xf numFmtId="0" fontId="2" fillId="7" borderId="55" xfId="0" applyFont="1" applyFill="1" applyBorder="1"/>
    <xf numFmtId="0" fontId="0" fillId="7" borderId="5" xfId="0" applyFill="1" applyBorder="1"/>
    <xf numFmtId="0" fontId="0" fillId="7" borderId="8" xfId="0" applyFill="1" applyBorder="1"/>
    <xf numFmtId="0" fontId="0" fillId="7" borderId="10" xfId="0" applyFill="1" applyBorder="1"/>
    <xf numFmtId="0" fontId="0" fillId="7" borderId="11" xfId="0" applyFill="1" applyBorder="1"/>
    <xf numFmtId="9" fontId="0" fillId="7" borderId="11" xfId="0" applyNumberFormat="1" applyFill="1" applyBorder="1"/>
    <xf numFmtId="164" fontId="0" fillId="7" borderId="11" xfId="1" applyNumberFormat="1" applyFont="1" applyFill="1" applyBorder="1"/>
    <xf numFmtId="2" fontId="0" fillId="7" borderId="8" xfId="0" applyNumberFormat="1" applyFill="1" applyBorder="1"/>
    <xf numFmtId="2" fontId="0" fillId="7" borderId="11" xfId="0" applyNumberFormat="1" applyFill="1" applyBorder="1"/>
    <xf numFmtId="0" fontId="2" fillId="7" borderId="55" xfId="0" applyFont="1" applyFill="1" applyBorder="1" applyAlignment="1">
      <alignment horizontal="left" indent="1"/>
    </xf>
    <xf numFmtId="9" fontId="0" fillId="7" borderId="54" xfId="0" applyNumberFormat="1" applyFill="1" applyBorder="1"/>
    <xf numFmtId="0" fontId="0" fillId="0" borderId="8" xfId="0" applyBorder="1" applyAlignment="1">
      <alignment horizontal="center" wrapText="1"/>
    </xf>
    <xf numFmtId="3" fontId="0" fillId="0" borderId="8" xfId="1" applyNumberFormat="1" applyFont="1" applyBorder="1" applyAlignment="1">
      <alignment horizontal="center"/>
    </xf>
    <xf numFmtId="167" fontId="0" fillId="0" borderId="8" xfId="4" applyNumberFormat="1" applyFont="1" applyBorder="1"/>
    <xf numFmtId="167" fontId="0" fillId="0" borderId="10" xfId="4" applyNumberFormat="1" applyFont="1" applyBorder="1"/>
    <xf numFmtId="167" fontId="0" fillId="0" borderId="11" xfId="4" applyNumberFormat="1" applyFont="1" applyBorder="1"/>
    <xf numFmtId="0" fontId="0" fillId="0" borderId="29" xfId="0" applyBorder="1" applyAlignment="1">
      <alignment horizontal="left" indent="1"/>
    </xf>
    <xf numFmtId="0" fontId="0" fillId="4" borderId="29" xfId="0" applyFill="1" applyBorder="1"/>
    <xf numFmtId="0" fontId="2" fillId="4" borderId="8" xfId="0" applyFont="1" applyFill="1" applyBorder="1" applyAlignment="1">
      <alignment horizontal="center" wrapText="1"/>
    </xf>
    <xf numFmtId="169" fontId="0" fillId="0" borderId="8" xfId="0" applyNumberFormat="1" applyBorder="1"/>
    <xf numFmtId="0" fontId="2" fillId="7" borderId="35" xfId="0" applyFont="1" applyFill="1" applyBorder="1"/>
    <xf numFmtId="0" fontId="2" fillId="7" borderId="21" xfId="0" applyFont="1" applyFill="1" applyBorder="1"/>
    <xf numFmtId="0" fontId="2" fillId="7" borderId="29" xfId="0" applyFont="1" applyFill="1" applyBorder="1" applyAlignment="1">
      <alignment horizontal="left" indent="1"/>
    </xf>
    <xf numFmtId="0" fontId="2" fillId="7" borderId="30" xfId="0" applyFont="1" applyFill="1" applyBorder="1" applyAlignment="1">
      <alignment horizontal="left" indent="1"/>
    </xf>
    <xf numFmtId="0" fontId="2" fillId="7" borderId="27" xfId="0" applyFont="1" applyFill="1" applyBorder="1" applyAlignment="1">
      <alignment horizontal="center"/>
    </xf>
    <xf numFmtId="0" fontId="0" fillId="7" borderId="28" xfId="0" applyFill="1" applyBorder="1" applyAlignment="1">
      <alignment horizontal="center"/>
    </xf>
    <xf numFmtId="0" fontId="2" fillId="7" borderId="28" xfId="0" applyFont="1" applyFill="1" applyBorder="1"/>
    <xf numFmtId="0" fontId="2" fillId="7" borderId="56" xfId="0" applyFont="1" applyFill="1" applyBorder="1" applyAlignment="1">
      <alignment horizontal="right"/>
    </xf>
    <xf numFmtId="0" fontId="2" fillId="7" borderId="29" xfId="0" applyFont="1" applyFill="1" applyBorder="1" applyAlignment="1">
      <alignment horizontal="right"/>
    </xf>
    <xf numFmtId="0" fontId="2" fillId="7" borderId="30" xfId="0" applyFont="1" applyFill="1" applyBorder="1" applyAlignment="1">
      <alignment horizontal="right"/>
    </xf>
    <xf numFmtId="164" fontId="0" fillId="0" borderId="8" xfId="1" applyNumberFormat="1" applyFont="1" applyBorder="1"/>
    <xf numFmtId="164" fontId="0" fillId="0" borderId="11" xfId="1" applyNumberFormat="1" applyFont="1" applyBorder="1"/>
    <xf numFmtId="0" fontId="2" fillId="4" borderId="0" xfId="0" applyFont="1" applyFill="1" applyBorder="1" applyAlignment="1">
      <alignment horizontal="center" wrapText="1"/>
    </xf>
    <xf numFmtId="0" fontId="0" fillId="0" borderId="0" xfId="0" applyBorder="1" applyAlignment="1">
      <alignment horizontal="center" wrapText="1"/>
    </xf>
    <xf numFmtId="3" fontId="0" fillId="0" borderId="0" xfId="1" applyNumberFormat="1" applyFont="1" applyBorder="1" applyAlignment="1">
      <alignment horizontal="center"/>
    </xf>
    <xf numFmtId="167" fontId="0" fillId="0" borderId="0" xfId="4" applyNumberFormat="1" applyFont="1" applyBorder="1"/>
    <xf numFmtId="0" fontId="0" fillId="0" borderId="0" xfId="0" applyBorder="1"/>
    <xf numFmtId="169" fontId="0" fillId="0" borderId="0" xfId="0" applyNumberFormat="1" applyBorder="1"/>
    <xf numFmtId="0" fontId="0" fillId="7" borderId="1" xfId="0" applyFill="1" applyBorder="1"/>
    <xf numFmtId="0" fontId="6" fillId="7" borderId="1" xfId="0" applyFont="1" applyFill="1" applyBorder="1"/>
    <xf numFmtId="0" fontId="6" fillId="7" borderId="0" xfId="0" applyFont="1" applyFill="1"/>
    <xf numFmtId="168" fontId="6" fillId="7" borderId="1" xfId="0" applyNumberFormat="1" applyFont="1" applyFill="1" applyBorder="1"/>
    <xf numFmtId="0" fontId="0" fillId="7" borderId="0" xfId="0" quotePrefix="1" applyFill="1"/>
    <xf numFmtId="0" fontId="7" fillId="9" borderId="0" xfId="0" applyFont="1" applyFill="1"/>
    <xf numFmtId="0" fontId="0" fillId="9" borderId="0" xfId="0" applyFill="1"/>
    <xf numFmtId="0" fontId="2" fillId="9" borderId="0" xfId="0" applyFont="1" applyFill="1"/>
    <xf numFmtId="0" fontId="2" fillId="9" borderId="38" xfId="0" applyFont="1" applyFill="1" applyBorder="1" applyAlignment="1">
      <alignment horizontal="center"/>
    </xf>
    <xf numFmtId="0" fontId="2" fillId="9" borderId="40" xfId="0" applyFont="1" applyFill="1" applyBorder="1" applyAlignment="1">
      <alignment horizontal="center"/>
    </xf>
    <xf numFmtId="0" fontId="5" fillId="9" borderId="0" xfId="0" applyFont="1" applyFill="1"/>
    <xf numFmtId="0" fontId="2" fillId="9" borderId="37" xfId="0" applyFont="1" applyFill="1" applyBorder="1" applyAlignment="1">
      <alignment horizontal="center" vertical="center"/>
    </xf>
    <xf numFmtId="0" fontId="2" fillId="9" borderId="39" xfId="0" applyFont="1" applyFill="1" applyBorder="1" applyAlignment="1">
      <alignment horizontal="center" vertical="center" wrapText="1"/>
    </xf>
    <xf numFmtId="0" fontId="2" fillId="9" borderId="24" xfId="0" applyFont="1" applyFill="1" applyBorder="1" applyAlignment="1">
      <alignment horizontal="center" vertical="center" wrapText="1"/>
    </xf>
    <xf numFmtId="0" fontId="2" fillId="9" borderId="40" xfId="0" applyFont="1" applyFill="1" applyBorder="1" applyAlignment="1">
      <alignment horizontal="center" vertical="center" wrapText="1"/>
    </xf>
    <xf numFmtId="0" fontId="2" fillId="9" borderId="26" xfId="0" applyFont="1" applyFill="1" applyBorder="1" applyAlignment="1">
      <alignment horizontal="center" vertical="center" wrapText="1"/>
    </xf>
    <xf numFmtId="0" fontId="0" fillId="9" borderId="3" xfId="0" applyFill="1" applyBorder="1"/>
    <xf numFmtId="0" fontId="0" fillId="9" borderId="1" xfId="0" applyFill="1" applyBorder="1"/>
    <xf numFmtId="0" fontId="0" fillId="9" borderId="38" xfId="0" applyFill="1" applyBorder="1"/>
    <xf numFmtId="0" fontId="11" fillId="9" borderId="0" xfId="0" applyFont="1" applyFill="1"/>
    <xf numFmtId="0" fontId="12" fillId="9" borderId="0" xfId="0" applyFont="1" applyFill="1"/>
    <xf numFmtId="0" fontId="12" fillId="9" borderId="1" xfId="0" applyFont="1" applyFill="1" applyBorder="1"/>
    <xf numFmtId="0" fontId="12" fillId="9" borderId="17" xfId="0" applyFont="1" applyFill="1" applyBorder="1"/>
    <xf numFmtId="3" fontId="12" fillId="9" borderId="1" xfId="0" applyNumberFormat="1" applyFont="1" applyFill="1" applyBorder="1"/>
    <xf numFmtId="3" fontId="12" fillId="9" borderId="0" xfId="0" applyNumberFormat="1" applyFont="1" applyFill="1"/>
    <xf numFmtId="3" fontId="12" fillId="9" borderId="17" xfId="0" applyNumberFormat="1" applyFont="1" applyFill="1" applyBorder="1"/>
    <xf numFmtId="0" fontId="0" fillId="9" borderId="37" xfId="0" applyFill="1" applyBorder="1"/>
    <xf numFmtId="0" fontId="2" fillId="9" borderId="2" xfId="0" applyFont="1" applyFill="1" applyBorder="1"/>
    <xf numFmtId="0" fontId="0" fillId="9" borderId="2" xfId="0" applyFill="1" applyBorder="1"/>
    <xf numFmtId="0" fontId="0" fillId="9" borderId="17" xfId="0" applyFill="1" applyBorder="1"/>
    <xf numFmtId="0" fontId="0" fillId="9" borderId="1" xfId="0" quotePrefix="1" applyFill="1" applyBorder="1"/>
    <xf numFmtId="167" fontId="0" fillId="9" borderId="1" xfId="0" applyNumberFormat="1" applyFill="1" applyBorder="1"/>
    <xf numFmtId="167" fontId="0" fillId="9" borderId="0" xfId="0" applyNumberFormat="1" applyFill="1" applyBorder="1"/>
    <xf numFmtId="167" fontId="0" fillId="9" borderId="0" xfId="0" applyNumberFormat="1" applyFill="1"/>
    <xf numFmtId="167" fontId="0" fillId="9" borderId="17" xfId="0" applyNumberFormat="1" applyFill="1" applyBorder="1"/>
    <xf numFmtId="167" fontId="0" fillId="9" borderId="21" xfId="0" applyNumberFormat="1" applyFill="1" applyBorder="1"/>
    <xf numFmtId="0" fontId="2" fillId="9" borderId="0" xfId="0" quotePrefix="1" applyFont="1" applyFill="1"/>
    <xf numFmtId="168" fontId="0" fillId="9" borderId="1" xfId="0" applyNumberFormat="1" applyFill="1" applyBorder="1"/>
    <xf numFmtId="2" fontId="0" fillId="9" borderId="1" xfId="0" applyNumberFormat="1" applyFill="1" applyBorder="1"/>
    <xf numFmtId="2" fontId="0" fillId="9" borderId="0" xfId="0" applyNumberFormat="1" applyFill="1"/>
    <xf numFmtId="2" fontId="0" fillId="9" borderId="17" xfId="0" applyNumberFormat="1" applyFill="1" applyBorder="1"/>
    <xf numFmtId="0" fontId="0" fillId="9" borderId="44" xfId="0" applyFill="1" applyBorder="1"/>
    <xf numFmtId="0" fontId="0" fillId="9" borderId="45" xfId="0" quotePrefix="1" applyFill="1" applyBorder="1"/>
    <xf numFmtId="0" fontId="0" fillId="9" borderId="47" xfId="0" quotePrefix="1" applyFill="1" applyBorder="1"/>
    <xf numFmtId="0" fontId="0" fillId="9" borderId="44" xfId="0" quotePrefix="1" applyFill="1" applyBorder="1"/>
    <xf numFmtId="167" fontId="0" fillId="9" borderId="44" xfId="0" applyNumberFormat="1" applyFill="1" applyBorder="1"/>
    <xf numFmtId="165" fontId="0" fillId="0" borderId="29" xfId="2" applyNumberFormat="1" applyFont="1" applyBorder="1"/>
    <xf numFmtId="165" fontId="0" fillId="0" borderId="30" xfId="2" applyNumberFormat="1" applyFont="1" applyBorder="1"/>
    <xf numFmtId="165" fontId="0" fillId="2" borderId="17" xfId="2" applyNumberFormat="1" applyFont="1" applyFill="1" applyBorder="1"/>
    <xf numFmtId="164" fontId="0" fillId="5" borderId="18" xfId="1" applyNumberFormat="1" applyFont="1" applyFill="1" applyBorder="1"/>
    <xf numFmtId="0" fontId="0" fillId="7" borderId="17" xfId="0" applyFill="1" applyBorder="1"/>
    <xf numFmtId="0" fontId="2" fillId="7" borderId="58" xfId="0" applyFont="1" applyFill="1" applyBorder="1"/>
    <xf numFmtId="0" fontId="2" fillId="7" borderId="43" xfId="0" applyFont="1" applyFill="1" applyBorder="1"/>
    <xf numFmtId="0" fontId="0" fillId="7" borderId="57" xfId="0" applyFill="1" applyBorder="1"/>
    <xf numFmtId="0" fontId="0" fillId="0" borderId="31" xfId="0" applyBorder="1"/>
    <xf numFmtId="0" fontId="0" fillId="0" borderId="32" xfId="0" applyBorder="1"/>
    <xf numFmtId="0" fontId="0" fillId="0" borderId="43" xfId="0" applyBorder="1" applyAlignment="1">
      <alignment horizontal="center"/>
    </xf>
    <xf numFmtId="0" fontId="0" fillId="4" borderId="0" xfId="0" applyFill="1" applyBorder="1"/>
    <xf numFmtId="0" fontId="9" fillId="4" borderId="0" xfId="0" applyFont="1" applyFill="1" applyBorder="1" applyAlignment="1">
      <alignment vertical="center" wrapText="1"/>
    </xf>
    <xf numFmtId="0" fontId="9" fillId="4" borderId="0" xfId="0" applyFont="1" applyFill="1" applyAlignment="1">
      <alignment vertical="center" wrapText="1"/>
    </xf>
    <xf numFmtId="0" fontId="4" fillId="7" borderId="8" xfId="0" applyFont="1" applyFill="1" applyBorder="1" applyAlignment="1">
      <alignment horizontal="left" indent="1"/>
    </xf>
    <xf numFmtId="0" fontId="4" fillId="7" borderId="11" xfId="0" applyFont="1" applyFill="1" applyBorder="1" applyAlignment="1">
      <alignment horizontal="left" indent="1"/>
    </xf>
    <xf numFmtId="0" fontId="0" fillId="4" borderId="0" xfId="0" applyFill="1" applyAlignment="1">
      <alignment horizontal="left" indent="1"/>
    </xf>
    <xf numFmtId="0" fontId="4" fillId="7" borderId="54" xfId="0" applyFont="1" applyFill="1" applyBorder="1" applyAlignment="1">
      <alignment horizontal="left" indent="1"/>
    </xf>
    <xf numFmtId="1" fontId="0" fillId="7" borderId="5" xfId="0" applyNumberFormat="1" applyFill="1" applyBorder="1"/>
    <xf numFmtId="0" fontId="4" fillId="7" borderId="6" xfId="0" applyFont="1" applyFill="1" applyBorder="1" applyAlignment="1">
      <alignment horizontal="left" indent="1"/>
    </xf>
    <xf numFmtId="1" fontId="0" fillId="7" borderId="0" xfId="0" applyNumberFormat="1" applyFill="1" applyBorder="1"/>
    <xf numFmtId="165" fontId="0" fillId="7" borderId="0" xfId="2" applyNumberFormat="1" applyFont="1" applyFill="1" applyBorder="1"/>
    <xf numFmtId="0" fontId="0" fillId="11" borderId="0" xfId="0" applyFill="1"/>
    <xf numFmtId="0" fontId="2" fillId="11" borderId="0" xfId="0" applyFont="1" applyFill="1"/>
    <xf numFmtId="0" fontId="4" fillId="11" borderId="0" xfId="0" applyFont="1" applyFill="1"/>
    <xf numFmtId="164" fontId="0" fillId="7" borderId="8" xfId="0" applyNumberFormat="1" applyFill="1" applyBorder="1" applyAlignment="1">
      <alignment horizontal="center"/>
    </xf>
    <xf numFmtId="164" fontId="0" fillId="7" borderId="11" xfId="0" applyNumberFormat="1" applyFill="1" applyBorder="1" applyAlignment="1">
      <alignment horizontal="center"/>
    </xf>
    <xf numFmtId="164" fontId="0" fillId="7" borderId="0" xfId="0" applyNumberFormat="1" applyFill="1" applyBorder="1" applyAlignment="1">
      <alignment horizontal="center"/>
    </xf>
    <xf numFmtId="164" fontId="0" fillId="7" borderId="10" xfId="0" applyNumberFormat="1" applyFill="1" applyBorder="1" applyAlignment="1">
      <alignment horizontal="center"/>
    </xf>
    <xf numFmtId="0" fontId="4" fillId="7" borderId="0" xfId="0" applyFont="1" applyFill="1"/>
    <xf numFmtId="0" fontId="4" fillId="7" borderId="4" xfId="0" applyFont="1" applyFill="1" applyBorder="1" applyAlignment="1">
      <alignment horizontal="left" vertical="center" wrapText="1"/>
    </xf>
    <xf numFmtId="0" fontId="4" fillId="7" borderId="5" xfId="0" applyFont="1" applyFill="1" applyBorder="1" applyAlignment="1">
      <alignment horizontal="left" vertical="center" wrapText="1"/>
    </xf>
    <xf numFmtId="0" fontId="4" fillId="7" borderId="6" xfId="0" applyFont="1" applyFill="1" applyBorder="1" applyAlignment="1">
      <alignment horizontal="left" vertical="center" wrapText="1"/>
    </xf>
    <xf numFmtId="0" fontId="4" fillId="7" borderId="7"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8" xfId="0" applyFont="1" applyFill="1" applyBorder="1" applyAlignment="1">
      <alignment horizontal="left" vertical="center" wrapText="1"/>
    </xf>
    <xf numFmtId="0" fontId="13" fillId="7" borderId="9" xfId="3" applyFont="1" applyFill="1" applyBorder="1" applyAlignment="1">
      <alignment horizontal="left" vertical="center" wrapText="1"/>
    </xf>
    <xf numFmtId="0" fontId="13" fillId="7" borderId="10" xfId="3" applyFont="1" applyFill="1" applyBorder="1" applyAlignment="1">
      <alignment horizontal="left" vertical="center" wrapText="1"/>
    </xf>
    <xf numFmtId="0" fontId="13" fillId="7" borderId="11" xfId="3" applyFont="1" applyFill="1" applyBorder="1" applyAlignment="1">
      <alignment horizontal="left" vertical="center" wrapText="1"/>
    </xf>
    <xf numFmtId="0" fontId="3" fillId="2" borderId="12" xfId="3" applyFill="1" applyBorder="1" applyAlignment="1">
      <alignment horizontal="center" vertical="center"/>
    </xf>
    <xf numFmtId="0" fontId="3" fillId="2" borderId="13" xfId="3" applyFill="1" applyBorder="1" applyAlignment="1">
      <alignment horizontal="center" vertical="center"/>
    </xf>
    <xf numFmtId="0" fontId="3" fillId="2" borderId="34" xfId="3" applyFill="1" applyBorder="1" applyAlignment="1">
      <alignment horizontal="center" vertical="center"/>
    </xf>
    <xf numFmtId="0" fontId="2" fillId="0" borderId="19" xfId="0" applyFont="1" applyBorder="1" applyAlignment="1">
      <alignment horizontal="center"/>
    </xf>
    <xf numFmtId="0" fontId="2" fillId="0" borderId="20" xfId="0" applyFont="1" applyBorder="1" applyAlignment="1">
      <alignment horizontal="center"/>
    </xf>
    <xf numFmtId="0" fontId="4" fillId="0" borderId="19" xfId="0" applyFont="1" applyBorder="1" applyAlignment="1">
      <alignment horizontal="center"/>
    </xf>
    <xf numFmtId="0" fontId="4" fillId="0" borderId="53" xfId="0" applyFont="1" applyBorder="1" applyAlignment="1">
      <alignment horizontal="center"/>
    </xf>
    <xf numFmtId="0" fontId="4" fillId="0" borderId="54" xfId="0" applyFont="1" applyBorder="1" applyAlignment="1">
      <alignment horizontal="center"/>
    </xf>
    <xf numFmtId="0" fontId="14" fillId="10" borderId="38" xfId="3" applyFont="1" applyFill="1" applyBorder="1" applyAlignment="1">
      <alignment horizontal="center" vertical="center" wrapText="1"/>
    </xf>
    <xf numFmtId="0" fontId="14" fillId="10" borderId="17" xfId="3" applyFont="1" applyFill="1" applyBorder="1" applyAlignment="1">
      <alignment horizontal="center" vertical="center" wrapText="1"/>
    </xf>
    <xf numFmtId="0" fontId="14" fillId="10" borderId="57" xfId="3" applyFont="1" applyFill="1" applyBorder="1" applyAlignment="1">
      <alignment horizontal="center" vertical="center" wrapText="1"/>
    </xf>
    <xf numFmtId="0" fontId="4" fillId="7" borderId="19" xfId="0" applyFont="1" applyFill="1" applyBorder="1" applyAlignment="1">
      <alignment horizontal="center"/>
    </xf>
    <xf numFmtId="0" fontId="4" fillId="7" borderId="53" xfId="0" applyFont="1" applyFill="1" applyBorder="1" applyAlignment="1">
      <alignment horizontal="center"/>
    </xf>
    <xf numFmtId="0" fontId="4" fillId="7" borderId="54" xfId="0" applyFont="1" applyFill="1" applyBorder="1" applyAlignment="1">
      <alignment horizont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59" xfId="0" applyBorder="1" applyAlignment="1">
      <alignment horizontal="center" vertical="center" wrapText="1"/>
    </xf>
    <xf numFmtId="0" fontId="0" fillId="0" borderId="22" xfId="0" applyBorder="1" applyAlignment="1">
      <alignment horizontal="center" vertical="center" wrapText="1"/>
    </xf>
    <xf numFmtId="0" fontId="0" fillId="0" borderId="32" xfId="0" applyBorder="1" applyAlignment="1">
      <alignment horizontal="center" vertical="center" wrapText="1"/>
    </xf>
    <xf numFmtId="164" fontId="0" fillId="0" borderId="3" xfId="0" applyNumberFormat="1" applyBorder="1" applyAlignment="1">
      <alignment horizontal="center"/>
    </xf>
    <xf numFmtId="164" fontId="0" fillId="0" borderId="46" xfId="0" applyNumberFormat="1" applyBorder="1" applyAlignment="1">
      <alignment horizontal="center"/>
    </xf>
    <xf numFmtId="164" fontId="0" fillId="0" borderId="1" xfId="0" applyNumberFormat="1" applyBorder="1" applyAlignment="1">
      <alignment horizontal="center"/>
    </xf>
    <xf numFmtId="164" fontId="0" fillId="0" borderId="8" xfId="0" applyNumberFormat="1" applyBorder="1" applyAlignment="1">
      <alignment horizontal="center"/>
    </xf>
    <xf numFmtId="164" fontId="0" fillId="0" borderId="60" xfId="0" applyNumberFormat="1" applyBorder="1" applyAlignment="1">
      <alignment horizontal="center"/>
    </xf>
    <xf numFmtId="164" fontId="0" fillId="0" borderId="11" xfId="0" applyNumberFormat="1" applyBorder="1" applyAlignment="1">
      <alignment horizontal="center"/>
    </xf>
    <xf numFmtId="0" fontId="2" fillId="6" borderId="19" xfId="0" applyFont="1" applyFill="1" applyBorder="1" applyAlignment="1">
      <alignment horizontal="center"/>
    </xf>
    <xf numFmtId="0" fontId="2" fillId="6" borderId="53" xfId="0" applyFont="1" applyFill="1" applyBorder="1" applyAlignment="1">
      <alignment horizontal="center"/>
    </xf>
    <xf numFmtId="0" fontId="2" fillId="6" borderId="54" xfId="0" applyFont="1" applyFill="1" applyBorder="1" applyAlignment="1">
      <alignment horizont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41"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5" fillId="0" borderId="21" xfId="0" applyFont="1" applyBorder="1" applyAlignment="1">
      <alignment horizontal="center" vertical="center"/>
    </xf>
    <xf numFmtId="0" fontId="2" fillId="0" borderId="33" xfId="0" applyFont="1" applyBorder="1" applyAlignment="1">
      <alignment horizontal="center"/>
    </xf>
    <xf numFmtId="0" fontId="2" fillId="0" borderId="42" xfId="0" applyFont="1" applyBorder="1" applyAlignment="1">
      <alignment horizontal="center"/>
    </xf>
    <xf numFmtId="0" fontId="2" fillId="0" borderId="28" xfId="0" applyFont="1" applyBorder="1" applyAlignment="1">
      <alignment horizontal="center"/>
    </xf>
    <xf numFmtId="0" fontId="9" fillId="11" borderId="51" xfId="0" applyFont="1" applyFill="1" applyBorder="1" applyAlignment="1">
      <alignment horizontal="left" wrapText="1"/>
    </xf>
    <xf numFmtId="0" fontId="9" fillId="11" borderId="48" xfId="0" applyFont="1" applyFill="1" applyBorder="1" applyAlignment="1">
      <alignment horizontal="left" wrapText="1"/>
    </xf>
    <xf numFmtId="0" fontId="9" fillId="11" borderId="52" xfId="0" applyFont="1" applyFill="1" applyBorder="1" applyAlignment="1">
      <alignment horizontal="left" wrapText="1"/>
    </xf>
    <xf numFmtId="0" fontId="9" fillId="11" borderId="9" xfId="0" applyFont="1" applyFill="1" applyBorder="1" applyAlignment="1">
      <alignment horizontal="left" wrapText="1"/>
    </xf>
    <xf numFmtId="0" fontId="9" fillId="11" borderId="10" xfId="0" applyFont="1" applyFill="1" applyBorder="1" applyAlignment="1">
      <alignment horizontal="left" wrapText="1"/>
    </xf>
    <xf numFmtId="0" fontId="9" fillId="11" borderId="11" xfId="0" applyFont="1" applyFill="1" applyBorder="1" applyAlignment="1">
      <alignment horizontal="left" wrapText="1"/>
    </xf>
    <xf numFmtId="0" fontId="9" fillId="11" borderId="0" xfId="0" applyFont="1" applyFill="1" applyBorder="1" applyAlignment="1">
      <alignment horizontal="left" vertical="center" wrapText="1" indent="1"/>
    </xf>
    <xf numFmtId="0" fontId="9" fillId="4" borderId="51" xfId="0" applyFont="1" applyFill="1" applyBorder="1" applyAlignment="1">
      <alignment horizontal="left" wrapText="1"/>
    </xf>
    <xf numFmtId="0" fontId="9" fillId="4" borderId="48" xfId="0" applyFont="1" applyFill="1" applyBorder="1" applyAlignment="1">
      <alignment horizontal="left" wrapText="1"/>
    </xf>
    <xf numFmtId="0" fontId="9" fillId="4" borderId="52" xfId="0" applyFont="1" applyFill="1" applyBorder="1" applyAlignment="1">
      <alignment horizontal="left" wrapText="1"/>
    </xf>
    <xf numFmtId="0" fontId="9" fillId="4" borderId="9" xfId="0" applyFont="1" applyFill="1" applyBorder="1" applyAlignment="1">
      <alignment horizontal="left" wrapText="1"/>
    </xf>
    <xf numFmtId="0" fontId="9" fillId="4" borderId="10" xfId="0" applyFont="1" applyFill="1" applyBorder="1" applyAlignment="1">
      <alignment horizontal="left" wrapText="1"/>
    </xf>
    <xf numFmtId="0" fontId="9" fillId="4" borderId="11" xfId="0" applyFont="1" applyFill="1" applyBorder="1" applyAlignment="1">
      <alignment horizontal="left"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32" xfId="0" applyFont="1" applyBorder="1" applyAlignment="1">
      <alignment horizontal="center" vertical="center" wrapText="1"/>
    </xf>
    <xf numFmtId="0" fontId="4" fillId="4" borderId="5" xfId="0" applyFont="1" applyFill="1" applyBorder="1" applyAlignment="1">
      <alignment horizontal="left" vertical="top" wrapText="1"/>
    </xf>
    <xf numFmtId="0" fontId="4" fillId="4" borderId="0" xfId="0" applyFont="1" applyFill="1" applyAlignment="1">
      <alignment horizontal="left" vertical="top" wrapText="1"/>
    </xf>
    <xf numFmtId="0" fontId="2" fillId="0" borderId="35" xfId="0" applyFont="1" applyBorder="1" applyAlignment="1">
      <alignment horizontal="center" vertical="center" wrapText="1"/>
    </xf>
    <xf numFmtId="0" fontId="2" fillId="0" borderId="31" xfId="0" applyFont="1" applyBorder="1" applyAlignment="1">
      <alignment horizontal="center" vertical="center" wrapText="1"/>
    </xf>
    <xf numFmtId="0" fontId="10" fillId="8" borderId="7" xfId="0" applyFont="1" applyFill="1" applyBorder="1" applyAlignment="1">
      <alignment horizontal="center"/>
    </xf>
    <xf numFmtId="0" fontId="10" fillId="8" borderId="0" xfId="0" applyFont="1" applyFill="1" applyBorder="1" applyAlignment="1">
      <alignment horizontal="center"/>
    </xf>
    <xf numFmtId="0" fontId="10" fillId="8" borderId="8" xfId="0" applyFont="1" applyFill="1" applyBorder="1" applyAlignment="1">
      <alignment horizontal="center"/>
    </xf>
    <xf numFmtId="0" fontId="10" fillId="8" borderId="4" xfId="0" applyFont="1" applyFill="1" applyBorder="1" applyAlignment="1">
      <alignment horizontal="center"/>
    </xf>
    <xf numFmtId="0" fontId="10" fillId="8" borderId="5" xfId="0" applyFont="1" applyFill="1" applyBorder="1" applyAlignment="1">
      <alignment horizontal="center"/>
    </xf>
    <xf numFmtId="0" fontId="10" fillId="8" borderId="6" xfId="0" applyFont="1" applyFill="1" applyBorder="1" applyAlignment="1">
      <alignment horizontal="center"/>
    </xf>
    <xf numFmtId="0" fontId="2" fillId="7" borderId="0" xfId="0" applyFont="1" applyFill="1" applyAlignment="1">
      <alignment horizontal="center" vertical="center"/>
    </xf>
    <xf numFmtId="0" fontId="0" fillId="7" borderId="0" xfId="0" applyFill="1" applyAlignment="1">
      <alignment horizontal="left" vertical="center" wrapText="1"/>
    </xf>
    <xf numFmtId="0" fontId="2" fillId="9" borderId="39" xfId="0" applyFont="1" applyFill="1" applyBorder="1" applyAlignment="1">
      <alignment horizontal="center"/>
    </xf>
    <xf numFmtId="0" fontId="2" fillId="9" borderId="26" xfId="0" applyFont="1" applyFill="1" applyBorder="1" applyAlignment="1">
      <alignment horizontal="center"/>
    </xf>
    <xf numFmtId="0" fontId="0" fillId="7" borderId="0" xfId="0" applyFill="1" applyAlignment="1">
      <alignment horizontal="left" wrapText="1"/>
    </xf>
  </cellXfs>
  <cellStyles count="5">
    <cellStyle name="Comma" xfId="1" builtinId="3"/>
    <cellStyle name="Currency" xfId="4"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ers.usda.gov/webdocs/publications/47570/8043_tb1927.pdf?v=0" TargetMode="External"/><Relationship Id="rId2" Type="http://schemas.openxmlformats.org/officeDocument/2006/relationships/hyperlink" Target="https://www.fsis.usda.gov/wps/portal/fsis/topics/recalls-and-public-health-alerts/recall-case-archive/archive/2018/recall-013-2018-release" TargetMode="External"/><Relationship Id="rId1" Type="http://schemas.openxmlformats.org/officeDocument/2006/relationships/hyperlink" Target="https://www.fsis.usda.gov/wps/portal/fsis/topics/recalls-and-public-health-alerts/recall-case-archive/recall-case-archive-2018" TargetMode="External"/><Relationship Id="rId6" Type="http://schemas.openxmlformats.org/officeDocument/2006/relationships/printerSettings" Target="../printerSettings/printerSettings1.bin"/><Relationship Id="rId5" Type="http://schemas.openxmlformats.org/officeDocument/2006/relationships/hyperlink" Target="source:%20https://wwwnc.cdc.gov/eid/article/17/1/p1-1101-techapp3.pdf" TargetMode="External"/><Relationship Id="rId4" Type="http://schemas.openxmlformats.org/officeDocument/2006/relationships/hyperlink" Target="https://wwwnc.cdc.gov/eid/article/17/1/p1-1101-techapp3.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BZ203"/>
  <sheetViews>
    <sheetView tabSelected="1" workbookViewId="0">
      <selection activeCell="A3" sqref="A3"/>
    </sheetView>
  </sheetViews>
  <sheetFormatPr defaultRowHeight="14.5" x14ac:dyDescent="0.35"/>
  <cols>
    <col min="1" max="1" width="36.54296875" bestFit="1" customWidth="1"/>
    <col min="2" max="2" width="11.26953125" customWidth="1"/>
    <col min="3" max="3" width="34.81640625" customWidth="1"/>
    <col min="5" max="5" width="29.26953125" customWidth="1"/>
    <col min="6" max="6" width="12" customWidth="1"/>
    <col min="7" max="7" width="13.453125" bestFit="1" customWidth="1"/>
    <col min="8" max="8" width="9.54296875" bestFit="1" customWidth="1"/>
  </cols>
  <sheetData>
    <row r="1" spans="1:78" x14ac:dyDescent="0.35">
      <c r="A1" t="s">
        <v>115</v>
      </c>
    </row>
    <row r="2" spans="1:78" x14ac:dyDescent="0.35">
      <c r="A2" t="s">
        <v>116</v>
      </c>
    </row>
    <row r="3" spans="1:78" ht="15" thickBot="1" x14ac:dyDescent="0.4">
      <c r="A3" t="s">
        <v>117</v>
      </c>
    </row>
    <row r="4" spans="1:78" ht="15" thickBot="1" x14ac:dyDescent="0.4">
      <c r="A4" s="218" t="s">
        <v>17</v>
      </c>
      <c r="B4" s="219"/>
      <c r="C4" s="4" t="s">
        <v>8</v>
      </c>
      <c r="D4" s="1"/>
      <c r="E4" s="220" t="s">
        <v>110</v>
      </c>
      <c r="F4" s="221"/>
      <c r="G4" s="222"/>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row>
    <row r="5" spans="1:78" x14ac:dyDescent="0.35">
      <c r="A5" s="2" t="s">
        <v>0</v>
      </c>
      <c r="B5" s="12">
        <v>20630</v>
      </c>
      <c r="C5" s="9" t="s">
        <v>9</v>
      </c>
      <c r="D5" s="1"/>
      <c r="E5" s="184" t="s">
        <v>4</v>
      </c>
      <c r="F5" s="186" t="s">
        <v>8</v>
      </c>
      <c r="G5" s="185" t="s">
        <v>19</v>
      </c>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row>
    <row r="6" spans="1:78" x14ac:dyDescent="0.35">
      <c r="A6" s="5" t="s">
        <v>1</v>
      </c>
      <c r="B6" s="13">
        <v>5397</v>
      </c>
      <c r="C6" s="6" t="s">
        <v>9</v>
      </c>
      <c r="D6" s="1"/>
      <c r="E6" s="176">
        <v>0.94499999999999995</v>
      </c>
      <c r="F6" s="223" t="s">
        <v>109</v>
      </c>
      <c r="G6" s="122">
        <f>($B$6*E6)*($B$11/($B$8*E6))</f>
        <v>93.888597124663562</v>
      </c>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row>
    <row r="7" spans="1:78" x14ac:dyDescent="0.35">
      <c r="A7" s="5" t="s">
        <v>2</v>
      </c>
      <c r="B7" s="14">
        <f>B6/B5</f>
        <v>0.26160930683470673</v>
      </c>
      <c r="C7" s="7" t="s">
        <v>10</v>
      </c>
      <c r="D7" s="1"/>
      <c r="E7" s="176">
        <v>0.88500000000000001</v>
      </c>
      <c r="F7" s="224"/>
      <c r="G7" s="122">
        <f t="shared" ref="G7:G8" si="0">($B$6*E7)*($B$11/($B$8*E7))</f>
        <v>93.888597124663562</v>
      </c>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row>
    <row r="8" spans="1:78" ht="15" thickBot="1" x14ac:dyDescent="0.4">
      <c r="A8" s="5" t="s">
        <v>3</v>
      </c>
      <c r="B8" s="15">
        <f>B5-B6</f>
        <v>15233</v>
      </c>
      <c r="C8" s="7" t="s">
        <v>10</v>
      </c>
      <c r="D8" s="1"/>
      <c r="E8" s="177">
        <v>0.82</v>
      </c>
      <c r="F8" s="225"/>
      <c r="G8" s="123">
        <f t="shared" si="0"/>
        <v>93.888597124663562</v>
      </c>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row>
    <row r="9" spans="1:78" ht="15" thickBot="1" x14ac:dyDescent="0.4">
      <c r="A9" s="5" t="s">
        <v>99</v>
      </c>
      <c r="B9" s="178">
        <v>0.88500000000000001</v>
      </c>
      <c r="C9" s="6" t="s">
        <v>9</v>
      </c>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row>
    <row r="10" spans="1:78" ht="15" thickBot="1" x14ac:dyDescent="0.4">
      <c r="A10" s="5" t="s">
        <v>5</v>
      </c>
      <c r="B10" s="15">
        <f>B8*B9</f>
        <v>13481.205</v>
      </c>
      <c r="C10" s="7" t="s">
        <v>10</v>
      </c>
      <c r="D10" s="1"/>
      <c r="E10" s="226" t="s">
        <v>18</v>
      </c>
      <c r="F10" s="227"/>
      <c r="G10" s="228"/>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row>
    <row r="11" spans="1:78" ht="15" customHeight="1" x14ac:dyDescent="0.35">
      <c r="A11" s="5" t="s">
        <v>6</v>
      </c>
      <c r="B11" s="13">
        <v>265</v>
      </c>
      <c r="C11" s="8" t="s">
        <v>11</v>
      </c>
      <c r="D11" s="1"/>
      <c r="E11" s="229" t="s">
        <v>20</v>
      </c>
      <c r="F11" s="230"/>
      <c r="G11" s="23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row>
    <row r="12" spans="1:78" x14ac:dyDescent="0.35">
      <c r="A12" s="5" t="s">
        <v>7</v>
      </c>
      <c r="B12" s="16">
        <f>B11/B10*1000</f>
        <v>19.656996537030629</v>
      </c>
      <c r="C12" s="7" t="s">
        <v>10</v>
      </c>
      <c r="D12" s="1"/>
      <c r="E12" s="232"/>
      <c r="F12" s="233"/>
      <c r="G12" s="234"/>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row>
    <row r="13" spans="1:78" ht="15" thickBot="1" x14ac:dyDescent="0.4">
      <c r="A13" s="10" t="s">
        <v>19</v>
      </c>
      <c r="B13" s="179">
        <f>B12/1000*B6*B9</f>
        <v>93.888597124663562</v>
      </c>
      <c r="C13" s="11" t="s">
        <v>10</v>
      </c>
      <c r="D13" s="1"/>
      <c r="E13" s="21">
        <f>B18</f>
        <v>21.8</v>
      </c>
      <c r="F13" s="235">
        <f>$G$7*E13</f>
        <v>2046.7714173176657</v>
      </c>
      <c r="G13" s="236"/>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row>
    <row r="14" spans="1:78" x14ac:dyDescent="0.35">
      <c r="A14" s="1"/>
      <c r="B14" s="1"/>
      <c r="C14" s="1"/>
      <c r="D14" s="1"/>
      <c r="E14" s="21">
        <f>B17</f>
        <v>29.3</v>
      </c>
      <c r="F14" s="237">
        <f>$G$7*E14</f>
        <v>2750.9358957526424</v>
      </c>
      <c r="G14" s="238"/>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row>
    <row r="15" spans="1:78" ht="15" thickBot="1" x14ac:dyDescent="0.4">
      <c r="A15" s="1"/>
      <c r="B15" s="1"/>
      <c r="C15" s="1"/>
      <c r="D15" s="1"/>
      <c r="E15" s="22">
        <f>B19</f>
        <v>38.4</v>
      </c>
      <c r="F15" s="239">
        <f>$G$7*E15</f>
        <v>3605.3221295870808</v>
      </c>
      <c r="G15" s="240"/>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row>
    <row r="16" spans="1:78" ht="15" thickBot="1" x14ac:dyDescent="0.4">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row>
    <row r="17" spans="1:78" ht="15" customHeight="1" x14ac:dyDescent="0.35">
      <c r="A17" s="2" t="s">
        <v>16</v>
      </c>
      <c r="B17" s="3">
        <v>29.3</v>
      </c>
      <c r="C17" s="215" t="s">
        <v>9</v>
      </c>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row>
    <row r="18" spans="1:78" x14ac:dyDescent="0.35">
      <c r="A18" s="5" t="s">
        <v>14</v>
      </c>
      <c r="B18">
        <v>21.8</v>
      </c>
      <c r="C18" s="216"/>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row>
    <row r="19" spans="1:78" ht="15" thickBot="1" x14ac:dyDescent="0.4">
      <c r="A19" s="23" t="s">
        <v>15</v>
      </c>
      <c r="B19" s="24">
        <v>38.4</v>
      </c>
      <c r="C19" s="217"/>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row>
    <row r="20" spans="1:78" ht="15" customHeight="1" x14ac:dyDescent="0.35">
      <c r="A20" s="206" t="s">
        <v>103</v>
      </c>
      <c r="B20" s="207"/>
      <c r="C20" s="208"/>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row>
    <row r="21" spans="1:78" x14ac:dyDescent="0.35">
      <c r="A21" s="209"/>
      <c r="B21" s="210"/>
      <c r="C21" s="21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row>
    <row r="22" spans="1:78" ht="15" thickBot="1" x14ac:dyDescent="0.4">
      <c r="A22" s="212" t="s">
        <v>104</v>
      </c>
      <c r="B22" s="213"/>
      <c r="C22" s="214"/>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row>
    <row r="23" spans="1:78" x14ac:dyDescent="0.3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row>
    <row r="24" spans="1:78" x14ac:dyDescent="0.3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row>
    <row r="25" spans="1:78" x14ac:dyDescent="0.3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row>
    <row r="26" spans="1:78" x14ac:dyDescent="0.3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row>
    <row r="27" spans="1:78" x14ac:dyDescent="0.3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row>
    <row r="28" spans="1:78" x14ac:dyDescent="0.3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row>
    <row r="29" spans="1:78" x14ac:dyDescent="0.3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row>
    <row r="30" spans="1:78" x14ac:dyDescent="0.3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row>
    <row r="31" spans="1:78" x14ac:dyDescent="0.3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row>
    <row r="32" spans="1:78" x14ac:dyDescent="0.3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row>
    <row r="33" spans="1:78" x14ac:dyDescent="0.3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row>
    <row r="34" spans="1:78" x14ac:dyDescent="0.3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row>
    <row r="35" spans="1:78" x14ac:dyDescent="0.3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row>
    <row r="36" spans="1:78" x14ac:dyDescent="0.3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row>
    <row r="37" spans="1:78" x14ac:dyDescent="0.3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row>
    <row r="38" spans="1:78" x14ac:dyDescent="0.3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row>
    <row r="39" spans="1:78" x14ac:dyDescent="0.3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row>
    <row r="40" spans="1:78" x14ac:dyDescent="0.3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row>
    <row r="41" spans="1:78" x14ac:dyDescent="0.3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row>
    <row r="42" spans="1:78" x14ac:dyDescent="0.3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row>
    <row r="43" spans="1:78" x14ac:dyDescent="0.3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row>
    <row r="44" spans="1:78" x14ac:dyDescent="0.3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row>
    <row r="45" spans="1:78" x14ac:dyDescent="0.3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row>
    <row r="46" spans="1:78" x14ac:dyDescent="0.3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row>
    <row r="47" spans="1:78" x14ac:dyDescent="0.3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row>
    <row r="48" spans="1:78" x14ac:dyDescent="0.3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row>
    <row r="49" spans="1:78" x14ac:dyDescent="0.3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row>
    <row r="50" spans="1:78" x14ac:dyDescent="0.3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row>
    <row r="51" spans="1:78" x14ac:dyDescent="0.3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row>
    <row r="52" spans="1:78" x14ac:dyDescent="0.3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row>
    <row r="53" spans="1:78" x14ac:dyDescent="0.3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row>
    <row r="54" spans="1:78" x14ac:dyDescent="0.3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row>
    <row r="55" spans="1:78" x14ac:dyDescent="0.3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row>
    <row r="56" spans="1:78" x14ac:dyDescent="0.3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row>
    <row r="57" spans="1:78" x14ac:dyDescent="0.3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row>
    <row r="58" spans="1:78" x14ac:dyDescent="0.3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row>
    <row r="59" spans="1:78" x14ac:dyDescent="0.3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row>
    <row r="60" spans="1:78" x14ac:dyDescent="0.3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row>
    <row r="61" spans="1:78" x14ac:dyDescent="0.3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row>
    <row r="62" spans="1:78" x14ac:dyDescent="0.3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row>
    <row r="63" spans="1:78" x14ac:dyDescent="0.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row>
    <row r="64" spans="1:78" x14ac:dyDescent="0.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row>
    <row r="65" spans="1:78" x14ac:dyDescent="0.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row>
    <row r="66" spans="1:78" x14ac:dyDescent="0.3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row>
    <row r="67" spans="1:78" x14ac:dyDescent="0.3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row>
    <row r="68" spans="1:78" x14ac:dyDescent="0.3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row>
    <row r="69" spans="1:78" x14ac:dyDescent="0.3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row>
    <row r="70" spans="1:78" x14ac:dyDescent="0.3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row>
    <row r="71" spans="1:78" x14ac:dyDescent="0.3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row>
    <row r="72" spans="1:78" x14ac:dyDescent="0.3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row>
    <row r="73" spans="1:78" x14ac:dyDescent="0.3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row>
    <row r="74" spans="1:78" x14ac:dyDescent="0.3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row>
    <row r="75" spans="1:78" x14ac:dyDescent="0.3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row>
    <row r="76" spans="1:78" x14ac:dyDescent="0.3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row>
    <row r="77" spans="1:78" x14ac:dyDescent="0.3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row>
    <row r="78" spans="1:78" x14ac:dyDescent="0.3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row>
    <row r="79" spans="1:78" x14ac:dyDescent="0.3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row>
    <row r="80" spans="1:78" x14ac:dyDescent="0.3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row>
    <row r="81" spans="1:78" x14ac:dyDescent="0.3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row>
    <row r="82" spans="1:78" x14ac:dyDescent="0.3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row>
    <row r="83" spans="1:78" x14ac:dyDescent="0.3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row>
    <row r="84" spans="1:78" x14ac:dyDescent="0.3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row>
    <row r="85" spans="1:78" x14ac:dyDescent="0.3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row>
    <row r="86" spans="1:78" x14ac:dyDescent="0.3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row>
    <row r="87" spans="1:78" x14ac:dyDescent="0.3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row>
    <row r="88" spans="1:78" x14ac:dyDescent="0.3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row>
    <row r="89" spans="1:78" x14ac:dyDescent="0.3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row>
    <row r="90" spans="1:78" x14ac:dyDescent="0.3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row>
    <row r="91" spans="1:78" x14ac:dyDescent="0.3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row>
    <row r="92" spans="1:78" x14ac:dyDescent="0.3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row>
    <row r="93" spans="1:78" x14ac:dyDescent="0.3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row>
    <row r="94" spans="1:78" x14ac:dyDescent="0.3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row>
    <row r="95" spans="1:78" x14ac:dyDescent="0.3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row>
    <row r="96" spans="1:78" x14ac:dyDescent="0.3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row>
    <row r="97" spans="1:78" x14ac:dyDescent="0.3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row>
    <row r="98" spans="1:78" x14ac:dyDescent="0.3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row>
    <row r="99" spans="1:78" x14ac:dyDescent="0.3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row>
    <row r="100" spans="1:78"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row>
    <row r="101" spans="1:78"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row>
    <row r="102" spans="1:78"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row>
    <row r="103" spans="1:78"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row>
    <row r="104" spans="1:78"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row>
    <row r="105" spans="1:78"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row>
    <row r="106" spans="1:78"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row>
    <row r="107" spans="1:78"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row>
    <row r="108" spans="1:78"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row>
    <row r="109" spans="1:78"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row>
    <row r="110" spans="1:78"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row>
    <row r="111" spans="1:78"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row>
    <row r="112" spans="1:78"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row>
    <row r="113" spans="1:78"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row>
    <row r="114" spans="1:78"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row>
    <row r="115" spans="1:78"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row>
    <row r="116" spans="1:78"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row>
    <row r="117" spans="1:78"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row>
    <row r="118" spans="1:78"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row>
    <row r="119" spans="1:78"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row>
    <row r="120" spans="1:78"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row>
    <row r="121" spans="1:78"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row>
    <row r="122" spans="1:78"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row>
    <row r="123" spans="1:78"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row>
    <row r="124" spans="1:78"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row>
    <row r="125" spans="1:78"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row>
    <row r="126" spans="1:78"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row>
    <row r="127" spans="1:78"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row>
    <row r="128" spans="1:78"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row>
    <row r="129" spans="1:78"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row>
    <row r="130" spans="1:78"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row>
    <row r="131" spans="1:78"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row>
    <row r="132" spans="1:78"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row>
    <row r="133" spans="1:78"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row>
    <row r="134" spans="1:78"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row>
    <row r="135" spans="1:78"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row>
    <row r="136" spans="1:78"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row>
    <row r="137" spans="1:78"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row>
    <row r="138" spans="1:78"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row>
    <row r="139" spans="1:78"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row>
    <row r="140" spans="1:78"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row>
    <row r="141" spans="1:78"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row>
    <row r="142" spans="1:78"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row>
    <row r="143" spans="1:78"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row>
    <row r="144" spans="1:78"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row>
    <row r="145" spans="1:78"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row>
    <row r="146" spans="1:78"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row>
    <row r="147" spans="1:78"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row>
    <row r="148" spans="1:78"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row>
    <row r="149" spans="1:78"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row>
    <row r="150" spans="1:78"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row>
    <row r="151" spans="1:78"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row>
    <row r="152" spans="1:78"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row>
    <row r="153" spans="1:78"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row>
    <row r="154" spans="1:78"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row>
    <row r="155" spans="1:78"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row>
    <row r="156" spans="1:78"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row>
    <row r="157" spans="1:78"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row>
    <row r="158" spans="1:78"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row>
    <row r="159" spans="1:78"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row>
    <row r="160" spans="1:78"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row>
    <row r="161" spans="1:78"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row>
    <row r="162" spans="1:78"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row>
    <row r="163" spans="1:78"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row>
    <row r="164" spans="1:78"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row>
    <row r="165" spans="1:78"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row>
    <row r="166" spans="1:78"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row>
    <row r="167" spans="1:78"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row>
    <row r="168" spans="1:78"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row>
    <row r="169" spans="1:78"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row>
    <row r="170" spans="1:78"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row>
    <row r="171" spans="1:78"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row>
    <row r="172" spans="1:78"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row>
    <row r="173" spans="1:78"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row>
    <row r="174" spans="1:78"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row>
    <row r="175" spans="1:78"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row>
    <row r="176" spans="1:78"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row>
    <row r="177" spans="1:78"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row>
    <row r="178" spans="1:78"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row>
    <row r="179" spans="1:78"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row>
    <row r="180" spans="1:78"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row>
    <row r="181" spans="1:78"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row>
    <row r="182" spans="1:78"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row>
    <row r="183" spans="1:78"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row>
    <row r="184" spans="1:78"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row>
    <row r="185" spans="1:78"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row>
    <row r="186" spans="1:78"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row>
    <row r="187" spans="1:78"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row>
    <row r="188" spans="1:78"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row>
    <row r="189" spans="1:78"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row>
    <row r="190" spans="1:78"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row>
    <row r="191" spans="1:78"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row>
    <row r="192" spans="1:78"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row>
    <row r="193" spans="1:78"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row>
    <row r="194" spans="1:78"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row>
    <row r="195" spans="1:78"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row>
    <row r="196" spans="1:78"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row>
    <row r="197" spans="1:78"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row>
    <row r="198" spans="1:78"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row>
    <row r="199" spans="1:78"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row>
    <row r="200" spans="1:78"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row>
    <row r="201" spans="1:78"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row>
    <row r="202" spans="1:78"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row>
    <row r="203" spans="1:78"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row>
  </sheetData>
  <mergeCells count="11">
    <mergeCell ref="A20:C21"/>
    <mergeCell ref="A22:C22"/>
    <mergeCell ref="C17:C19"/>
    <mergeCell ref="A4:B4"/>
    <mergeCell ref="E4:G4"/>
    <mergeCell ref="F6:F8"/>
    <mergeCell ref="E10:G10"/>
    <mergeCell ref="E11:G12"/>
    <mergeCell ref="F13:G13"/>
    <mergeCell ref="F14:G14"/>
    <mergeCell ref="F15:G15"/>
  </mergeCells>
  <dataValidations count="1">
    <dataValidation type="list" allowBlank="1" showInputMessage="1" showErrorMessage="1" sqref="B9">
      <formula1>$E$6:$E$8</formula1>
    </dataValidation>
  </dataValidations>
  <hyperlinks>
    <hyperlink ref="C6" r:id="rId1"/>
    <hyperlink ref="C5" r:id="rId2"/>
    <hyperlink ref="C9" r:id="rId3"/>
    <hyperlink ref="C17" r:id="rId4"/>
    <hyperlink ref="A22:C22" r:id="rId5" display="Source: https://wwwnc.cdc.gov/eid/article/17/1/p1-1101-techapp3.pdf"/>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H47"/>
  <sheetViews>
    <sheetView zoomScale="80" zoomScaleNormal="80" workbookViewId="0">
      <pane xSplit="4" topLeftCell="E1" activePane="topRight" state="frozen"/>
      <selection pane="topRight" activeCell="E1" sqref="E1:N1"/>
    </sheetView>
  </sheetViews>
  <sheetFormatPr defaultColWidth="9.1796875" defaultRowHeight="14.5" x14ac:dyDescent="0.35"/>
  <cols>
    <col min="1" max="1" width="54.54296875" style="198" customWidth="1"/>
    <col min="2" max="2" width="15.26953125" style="198" customWidth="1"/>
    <col min="3" max="3" width="18.7265625" style="198" customWidth="1"/>
    <col min="4" max="4" width="11.1796875" style="198" customWidth="1"/>
    <col min="5" max="5" width="5.1796875" style="81" customWidth="1"/>
    <col min="6" max="7" width="4" style="81" customWidth="1"/>
    <col min="8" max="8" width="24.453125" style="81" customWidth="1"/>
    <col min="9" max="9" width="12.54296875" style="81" customWidth="1"/>
    <col min="10" max="10" width="12" style="81" customWidth="1"/>
    <col min="11" max="11" width="13.1796875" style="81" customWidth="1"/>
    <col min="12" max="12" width="12.1796875" style="81" customWidth="1"/>
    <col min="13" max="13" width="14.54296875" style="81" customWidth="1"/>
    <col min="14" max="14" width="13.453125" style="81" customWidth="1"/>
    <col min="15" max="15" width="5.1796875" style="81" customWidth="1"/>
    <col min="16" max="17" width="4" style="81" customWidth="1"/>
    <col min="18" max="18" width="24.453125" style="81" customWidth="1"/>
    <col min="19" max="19" width="12.54296875" style="81" customWidth="1"/>
    <col min="20" max="20" width="12" style="81" customWidth="1"/>
    <col min="21" max="21" width="13.1796875" style="81" customWidth="1"/>
    <col min="22" max="22" width="12.1796875" style="81" customWidth="1"/>
    <col min="23" max="23" width="14.54296875" style="81" customWidth="1"/>
    <col min="24" max="24" width="13.453125" style="81" customWidth="1"/>
    <col min="25" max="25" width="5.1796875" style="81" customWidth="1"/>
    <col min="26" max="27" width="4" style="81" customWidth="1"/>
    <col min="28" max="28" width="24.453125" style="81" customWidth="1"/>
    <col min="29" max="29" width="12.54296875" style="81" customWidth="1"/>
    <col min="30" max="30" width="12" style="81" customWidth="1"/>
    <col min="31" max="31" width="13.1796875" style="81" customWidth="1"/>
    <col min="32" max="32" width="12.1796875" style="81" customWidth="1"/>
    <col min="33" max="33" width="14.54296875" style="81" customWidth="1"/>
    <col min="34" max="34" width="13.453125" style="81" customWidth="1"/>
    <col min="35" max="59" width="9.1796875" style="81" customWidth="1"/>
    <col min="60" max="16384" width="9.1796875" style="81"/>
  </cols>
  <sheetData>
    <row r="1" spans="1:14" ht="15" thickBot="1" x14ac:dyDescent="0.4">
      <c r="E1" s="241" t="s">
        <v>43</v>
      </c>
      <c r="F1" s="242"/>
      <c r="G1" s="242"/>
      <c r="H1" s="242"/>
      <c r="I1" s="242"/>
      <c r="J1" s="242"/>
      <c r="K1" s="242"/>
      <c r="L1" s="242"/>
      <c r="M1" s="242"/>
      <c r="N1" s="243"/>
    </row>
    <row r="2" spans="1:14" x14ac:dyDescent="0.35">
      <c r="E2" s="244" t="s">
        <v>29</v>
      </c>
      <c r="F2" s="245"/>
      <c r="G2" s="245"/>
      <c r="H2" s="246"/>
      <c r="I2" s="44"/>
      <c r="J2" s="250" t="s">
        <v>26</v>
      </c>
      <c r="K2" s="251"/>
      <c r="L2" s="45" t="s">
        <v>27</v>
      </c>
      <c r="M2" s="250" t="s">
        <v>28</v>
      </c>
      <c r="N2" s="252"/>
    </row>
    <row r="3" spans="1:14" ht="44" thickBot="1" x14ac:dyDescent="0.4">
      <c r="E3" s="247"/>
      <c r="F3" s="248"/>
      <c r="G3" s="248"/>
      <c r="H3" s="249"/>
      <c r="I3" s="57" t="s">
        <v>30</v>
      </c>
      <c r="J3" s="58" t="s">
        <v>31</v>
      </c>
      <c r="K3" s="59" t="s">
        <v>32</v>
      </c>
      <c r="L3" s="60" t="s">
        <v>27</v>
      </c>
      <c r="M3" s="59" t="s">
        <v>33</v>
      </c>
      <c r="N3" s="61" t="s">
        <v>34</v>
      </c>
    </row>
    <row r="4" spans="1:14" x14ac:dyDescent="0.35">
      <c r="A4" s="112" t="s">
        <v>69</v>
      </c>
      <c r="B4" s="93">
        <v>265</v>
      </c>
      <c r="C4" s="87" t="s">
        <v>64</v>
      </c>
      <c r="E4" s="68" t="s">
        <v>37</v>
      </c>
      <c r="F4"/>
      <c r="G4"/>
      <c r="H4"/>
      <c r="I4" s="25">
        <f>B4</f>
        <v>265</v>
      </c>
      <c r="J4" s="26"/>
      <c r="K4"/>
      <c r="L4" s="27"/>
      <c r="M4" s="26"/>
      <c r="N4" s="69"/>
    </row>
    <row r="5" spans="1:14" x14ac:dyDescent="0.35">
      <c r="A5" s="84" t="s">
        <v>12</v>
      </c>
      <c r="B5" s="81">
        <v>94</v>
      </c>
      <c r="C5" s="94" t="s">
        <v>64</v>
      </c>
      <c r="E5" s="68"/>
      <c r="F5" t="s">
        <v>21</v>
      </c>
      <c r="G5"/>
      <c r="H5"/>
      <c r="I5" s="28"/>
      <c r="J5" s="29">
        <f>(I4-L5)*(1-$B$9)</f>
        <v>158.4657</v>
      </c>
      <c r="K5" s="30">
        <f>(I4-L5)*$B$9</f>
        <v>12.5343</v>
      </c>
      <c r="L5" s="31">
        <f>B5</f>
        <v>94</v>
      </c>
      <c r="M5" s="29">
        <f>L5-N5</f>
        <v>93</v>
      </c>
      <c r="N5" s="70">
        <f>B7</f>
        <v>1</v>
      </c>
    </row>
    <row r="6" spans="1:14" x14ac:dyDescent="0.35">
      <c r="A6" s="84" t="s">
        <v>13</v>
      </c>
      <c r="B6" s="82">
        <f>B5/B4</f>
        <v>0.35471698113207545</v>
      </c>
      <c r="C6" s="88" t="s">
        <v>10</v>
      </c>
      <c r="E6" s="68"/>
      <c r="F6"/>
      <c r="G6"/>
      <c r="H6"/>
      <c r="I6" s="32"/>
      <c r="J6" s="33"/>
      <c r="K6" s="34"/>
      <c r="L6" s="35"/>
      <c r="M6" s="33"/>
      <c r="N6" s="71"/>
    </row>
    <row r="7" spans="1:14" ht="15" thickBot="1" x14ac:dyDescent="0.4">
      <c r="A7" s="85" t="s">
        <v>67</v>
      </c>
      <c r="B7" s="95">
        <v>1</v>
      </c>
      <c r="C7" s="96" t="s">
        <v>64</v>
      </c>
      <c r="E7" s="68" t="s">
        <v>38</v>
      </c>
      <c r="F7"/>
      <c r="G7"/>
      <c r="H7"/>
      <c r="I7" s="26"/>
      <c r="J7" s="36"/>
      <c r="K7" s="37"/>
      <c r="L7" s="38"/>
      <c r="M7" s="36"/>
      <c r="N7" s="72"/>
    </row>
    <row r="8" spans="1:14" ht="15" thickBot="1" x14ac:dyDescent="0.4">
      <c r="A8" s="113" t="s">
        <v>80</v>
      </c>
      <c r="B8" s="83">
        <f>B7/B5</f>
        <v>1.0638297872340425E-2</v>
      </c>
      <c r="C8" s="88" t="s">
        <v>10</v>
      </c>
      <c r="E8" s="68"/>
      <c r="F8" t="s">
        <v>22</v>
      </c>
      <c r="G8"/>
      <c r="H8"/>
      <c r="I8" s="26"/>
      <c r="J8" s="26"/>
      <c r="K8" s="40">
        <f>K5*'Per case assumptions'!$G$17*'Per case assumptions'!$G$18</f>
        <v>2562.8883209999999</v>
      </c>
      <c r="L8" s="39">
        <f>L5*'Per case assumptions'!$H$17*'Per case assumptions'!$H$18</f>
        <v>9610.09</v>
      </c>
      <c r="M8" s="39">
        <f>M5*'Per case assumptions'!$I$17*'Per case assumptions'!$I$18</f>
        <v>13582.650000000001</v>
      </c>
      <c r="N8" s="73"/>
    </row>
    <row r="9" spans="1:14" ht="15" thickBot="1" x14ac:dyDescent="0.4">
      <c r="A9" s="92" t="s">
        <v>65</v>
      </c>
      <c r="B9" s="90">
        <v>7.3300000000000004E-2</v>
      </c>
      <c r="C9" s="91" t="s">
        <v>66</v>
      </c>
      <c r="E9" s="68"/>
      <c r="F9" t="s">
        <v>23</v>
      </c>
      <c r="G9"/>
      <c r="H9"/>
      <c r="I9" s="26"/>
      <c r="J9" s="41"/>
      <c r="K9" s="40">
        <f>K5*'Per case assumptions'!$G$20*'Per case assumptions'!$G$21</f>
        <v>718.13312971775986</v>
      </c>
      <c r="L9" s="39">
        <f>L5*'Per case assumptions'!$H$20*'Per case assumptions'!$H$21</f>
        <v>16156.749286390806</v>
      </c>
      <c r="M9" s="39">
        <f>M5*'Per case assumptions'!$I$20*'Per case assumptions'!$I$21</f>
        <v>0</v>
      </c>
      <c r="N9" s="73"/>
    </row>
    <row r="10" spans="1:14" ht="15" thickBot="1" x14ac:dyDescent="0.4">
      <c r="A10" s="199"/>
      <c r="E10" s="68"/>
      <c r="F10" t="s">
        <v>24</v>
      </c>
      <c r="G10"/>
      <c r="H10"/>
      <c r="I10" s="26"/>
      <c r="J10" s="41"/>
      <c r="K10" s="40">
        <f>K5*'Per case assumptions'!$G$23*'Per case assumptions'!$G$24</f>
        <v>3029.0264036999997</v>
      </c>
      <c r="L10" s="39">
        <f>L5*'Per case assumptions'!$H$23*'Per case assumptions'!$H$24</f>
        <v>15143.964</v>
      </c>
      <c r="M10" s="39">
        <f>M5*'Per case assumptions'!$I$23*'Per case assumptions'!$I$24</f>
        <v>0</v>
      </c>
      <c r="N10" s="73"/>
    </row>
    <row r="11" spans="1:14" x14ac:dyDescent="0.35">
      <c r="A11" s="116" t="s">
        <v>73</v>
      </c>
      <c r="B11" s="117"/>
      <c r="E11" s="68"/>
      <c r="F11" t="s">
        <v>12</v>
      </c>
      <c r="G11"/>
      <c r="H11"/>
      <c r="I11" s="26"/>
      <c r="J11" s="26"/>
      <c r="K11" s="66">
        <f>K5*'Per case assumptions'!$G$26*'Per case assumptions'!$G$27</f>
        <v>0</v>
      </c>
      <c r="L11" s="67">
        <f>L5*'Per case assumptions'!$H$26*'Per case assumptions'!$H$27</f>
        <v>1637103.06</v>
      </c>
      <c r="M11" s="67">
        <f>M5*'Per case assumptions'!$I$26*'Per case assumptions'!$I$27</f>
        <v>0</v>
      </c>
      <c r="N11" s="73"/>
    </row>
    <row r="12" spans="1:14" x14ac:dyDescent="0.35">
      <c r="A12" s="114" t="s">
        <v>70</v>
      </c>
      <c r="B12" s="86">
        <f>B4*'Cases Averted'!B18</f>
        <v>5777</v>
      </c>
      <c r="E12" s="68"/>
      <c r="F12" s="17" t="s">
        <v>25</v>
      </c>
      <c r="G12"/>
      <c r="H12"/>
      <c r="I12" s="26"/>
      <c r="J12" s="26"/>
      <c r="K12" s="42">
        <f>SUM(K8:K11)</f>
        <v>6310.0478544177595</v>
      </c>
      <c r="L12" s="43">
        <f>SUM(L8:L11)</f>
        <v>1678013.8632863909</v>
      </c>
      <c r="M12" s="42">
        <f>SUM(M8:M11)</f>
        <v>13582.650000000001</v>
      </c>
      <c r="N12" s="69"/>
    </row>
    <row r="13" spans="1:14" x14ac:dyDescent="0.35">
      <c r="A13" s="114" t="s">
        <v>71</v>
      </c>
      <c r="B13" s="86">
        <f>B4*'Cases Averted'!B17</f>
        <v>7764.5</v>
      </c>
      <c r="E13" s="5"/>
      <c r="F13"/>
      <c r="G13"/>
      <c r="H13"/>
      <c r="I13" s="27"/>
      <c r="J13"/>
      <c r="K13" s="18"/>
      <c r="L13" s="27"/>
      <c r="M13"/>
      <c r="N13" s="69"/>
    </row>
    <row r="14" spans="1:14" ht="15" thickBot="1" x14ac:dyDescent="0.4">
      <c r="A14" s="115" t="s">
        <v>72</v>
      </c>
      <c r="B14" s="98">
        <f>B4*'Cases Averted'!B19</f>
        <v>10176</v>
      </c>
      <c r="E14" s="68" t="s">
        <v>39</v>
      </c>
      <c r="F14"/>
      <c r="G14"/>
      <c r="H14"/>
      <c r="I14" s="27"/>
      <c r="J14" s="46"/>
      <c r="K14" s="46"/>
      <c r="L14" s="47"/>
      <c r="M14" s="46"/>
      <c r="N14" s="74">
        <f>N5*'Per case assumptions'!$J$40</f>
        <v>9702616.4879933652</v>
      </c>
    </row>
    <row r="15" spans="1:14" ht="15" thickBot="1" x14ac:dyDescent="0.4">
      <c r="A15" s="115" t="s">
        <v>74</v>
      </c>
      <c r="B15" s="97">
        <v>0</v>
      </c>
      <c r="E15" s="68"/>
      <c r="F15"/>
      <c r="G15"/>
      <c r="H15"/>
      <c r="I15" s="27"/>
      <c r="J15"/>
      <c r="K15"/>
      <c r="L15" s="27"/>
      <c r="M15"/>
      <c r="N15" s="69"/>
    </row>
    <row r="16" spans="1:14" x14ac:dyDescent="0.35">
      <c r="C16" s="200"/>
      <c r="E16" s="68" t="s">
        <v>40</v>
      </c>
      <c r="F16"/>
      <c r="G16"/>
      <c r="H16"/>
      <c r="I16" s="27"/>
      <c r="J16" s="49">
        <f>J5*'Per case assumptions'!$F$32*'Per case assumptions'!$F$33*'Per case assumptions'!$F$34</f>
        <v>9655.5452406739696</v>
      </c>
      <c r="K16" s="48">
        <f>K5*'Per case assumptions'!$G$32*'Per case assumptions'!$G$33*'Per case assumptions'!$G$34</f>
        <v>2540.4288272820008</v>
      </c>
      <c r="L16" s="50">
        <f>L5*'Per case assumptions'!$H$32*'Per case assumptions'!$H$33*'Per case assumptions'!$H$34</f>
        <v>51546.999147972587</v>
      </c>
      <c r="M16" s="49">
        <f>M5*'Per case assumptions'!$I$32*'Per case assumptions'!$I$33*'Per case assumptions'!$I$34</f>
        <v>25499.313408305585</v>
      </c>
      <c r="N16" s="74"/>
    </row>
    <row r="17" spans="1:34" ht="15" thickBot="1" x14ac:dyDescent="0.4">
      <c r="E17" s="68"/>
      <c r="F17"/>
      <c r="G17"/>
      <c r="H17" s="62" t="s">
        <v>68</v>
      </c>
      <c r="I17" s="63"/>
      <c r="J17" s="64">
        <f>J5*'Per case assumptions'!$F$32*'Per case assumptions'!$F$33</f>
        <v>35.226608178599996</v>
      </c>
      <c r="K17" s="64">
        <f>K5*'Per case assumptions'!$G$32*'Per case assumptions'!$G$33</f>
        <v>9.2030841576000011</v>
      </c>
      <c r="L17" s="65">
        <f>L5*'Per case assumptions'!$H$32*'Per case assumptions'!$H$33</f>
        <v>182.01351600000001</v>
      </c>
      <c r="M17" s="64">
        <f>M5*'Per case assumptions'!$I$32*'Per case assumptions'!$I$33</f>
        <v>90.038601</v>
      </c>
      <c r="N17" s="74"/>
    </row>
    <row r="18" spans="1:34" x14ac:dyDescent="0.35">
      <c r="A18" s="181" t="s">
        <v>83</v>
      </c>
      <c r="B18" s="182" t="s">
        <v>27</v>
      </c>
      <c r="C18" s="118" t="s">
        <v>105</v>
      </c>
      <c r="E18" s="68"/>
      <c r="F18"/>
      <c r="G18"/>
      <c r="H18"/>
      <c r="I18" s="27"/>
      <c r="J18" s="49"/>
      <c r="K18" s="49"/>
      <c r="L18" s="50"/>
      <c r="M18" s="49"/>
      <c r="N18" s="74"/>
    </row>
    <row r="19" spans="1:34" x14ac:dyDescent="0.35">
      <c r="A19" s="119" t="s">
        <v>70</v>
      </c>
      <c r="B19" s="180">
        <f>$B$5+$B$15*(B12-$B$4)</f>
        <v>94</v>
      </c>
      <c r="C19" s="99">
        <f>B19*$B$8</f>
        <v>1</v>
      </c>
      <c r="E19" s="68" t="s">
        <v>41</v>
      </c>
      <c r="F19"/>
      <c r="G19"/>
      <c r="H19"/>
      <c r="I19" s="27"/>
      <c r="J19" s="51">
        <f>SUM(J12:J16)</f>
        <v>9655.5452406739696</v>
      </c>
      <c r="K19" s="52">
        <f>SUM(K12:K16)</f>
        <v>8850.4766816997599</v>
      </c>
      <c r="L19" s="53">
        <f>SUM(L12:L16)</f>
        <v>1729560.8624343635</v>
      </c>
      <c r="M19" s="54">
        <f>SUM(M12:M16)</f>
        <v>39081.963408305586</v>
      </c>
      <c r="N19" s="75">
        <f>N14</f>
        <v>9702616.4879933652</v>
      </c>
    </row>
    <row r="20" spans="1:34" x14ac:dyDescent="0.35">
      <c r="A20" s="120" t="s">
        <v>71</v>
      </c>
      <c r="B20" s="180">
        <f t="shared" ref="B20:B21" si="0">$B$5+$B$15*(B13-$B$4)</f>
        <v>94</v>
      </c>
      <c r="C20" s="99">
        <f t="shared" ref="C20:C21" si="1">B20*$B$8</f>
        <v>1</v>
      </c>
      <c r="E20" s="68"/>
      <c r="F20"/>
      <c r="G20"/>
      <c r="H20"/>
      <c r="I20" s="47"/>
      <c r="J20"/>
      <c r="K20"/>
      <c r="L20"/>
      <c r="M20"/>
      <c r="N20" s="69"/>
    </row>
    <row r="21" spans="1:34" ht="15" thickBot="1" x14ac:dyDescent="0.4">
      <c r="A21" s="121" t="s">
        <v>72</v>
      </c>
      <c r="B21" s="183">
        <f t="shared" si="0"/>
        <v>94</v>
      </c>
      <c r="C21" s="100">
        <f t="shared" si="1"/>
        <v>1</v>
      </c>
      <c r="E21" s="76" t="s">
        <v>42</v>
      </c>
      <c r="F21" s="55"/>
      <c r="G21" s="55"/>
      <c r="H21" s="55"/>
      <c r="I21" s="56">
        <f>SUM(J19:N19)</f>
        <v>11489765.335758409</v>
      </c>
      <c r="J21" s="55"/>
      <c r="K21" s="55"/>
      <c r="L21" s="55"/>
      <c r="M21" s="55"/>
      <c r="N21" s="77"/>
    </row>
    <row r="22" spans="1:34" ht="16.5" customHeight="1" thickTop="1" x14ac:dyDescent="0.35">
      <c r="A22" s="259" t="s">
        <v>106</v>
      </c>
      <c r="B22" s="259"/>
      <c r="C22" s="259"/>
      <c r="E22" s="253" t="s">
        <v>36</v>
      </c>
      <c r="F22" s="254"/>
      <c r="G22" s="254"/>
      <c r="H22" s="254"/>
      <c r="I22" s="254"/>
      <c r="J22" s="254"/>
      <c r="K22" s="254"/>
      <c r="L22" s="254"/>
      <c r="M22" s="254"/>
      <c r="N22" s="255"/>
    </row>
    <row r="23" spans="1:34" ht="15" thickBot="1" x14ac:dyDescent="0.4">
      <c r="A23" s="259"/>
      <c r="B23" s="259"/>
      <c r="C23" s="259"/>
      <c r="E23" s="256"/>
      <c r="F23" s="257"/>
      <c r="G23" s="257"/>
      <c r="H23" s="257"/>
      <c r="I23" s="257"/>
      <c r="J23" s="257"/>
      <c r="K23" s="257"/>
      <c r="L23" s="257"/>
      <c r="M23" s="257"/>
      <c r="N23" s="258"/>
    </row>
    <row r="24" spans="1:34" ht="15" thickBot="1" x14ac:dyDescent="0.4"/>
    <row r="25" spans="1:34" ht="15" thickBot="1" x14ac:dyDescent="0.4">
      <c r="E25" s="241" t="s">
        <v>75</v>
      </c>
      <c r="F25" s="242"/>
      <c r="G25" s="242"/>
      <c r="H25" s="242"/>
      <c r="I25" s="242"/>
      <c r="J25" s="242"/>
      <c r="K25" s="242"/>
      <c r="L25" s="242"/>
      <c r="M25" s="242"/>
      <c r="N25" s="243"/>
      <c r="O25" s="241" t="s">
        <v>76</v>
      </c>
      <c r="P25" s="242"/>
      <c r="Q25" s="242"/>
      <c r="R25" s="242"/>
      <c r="S25" s="242"/>
      <c r="T25" s="242"/>
      <c r="U25" s="242"/>
      <c r="V25" s="242"/>
      <c r="W25" s="242"/>
      <c r="X25" s="243"/>
      <c r="Y25" s="241" t="s">
        <v>77</v>
      </c>
      <c r="Z25" s="242"/>
      <c r="AA25" s="242"/>
      <c r="AB25" s="242"/>
      <c r="AC25" s="242"/>
      <c r="AD25" s="242"/>
      <c r="AE25" s="242"/>
      <c r="AF25" s="242"/>
      <c r="AG25" s="242"/>
      <c r="AH25" s="243"/>
    </row>
    <row r="26" spans="1:34" ht="15" customHeight="1" x14ac:dyDescent="0.35">
      <c r="E26" s="244" t="s">
        <v>29</v>
      </c>
      <c r="F26" s="245"/>
      <c r="G26" s="245"/>
      <c r="H26" s="246"/>
      <c r="I26" s="44"/>
      <c r="J26" s="250" t="s">
        <v>26</v>
      </c>
      <c r="K26" s="251"/>
      <c r="L26" s="45" t="s">
        <v>27</v>
      </c>
      <c r="M26" s="250" t="s">
        <v>28</v>
      </c>
      <c r="N26" s="252"/>
      <c r="O26" s="244" t="s">
        <v>29</v>
      </c>
      <c r="P26" s="245"/>
      <c r="Q26" s="245"/>
      <c r="R26" s="246"/>
      <c r="S26" s="44"/>
      <c r="T26" s="250" t="s">
        <v>26</v>
      </c>
      <c r="U26" s="251"/>
      <c r="V26" s="45" t="s">
        <v>27</v>
      </c>
      <c r="W26" s="250" t="s">
        <v>28</v>
      </c>
      <c r="X26" s="252"/>
      <c r="Y26" s="244" t="s">
        <v>29</v>
      </c>
      <c r="Z26" s="245"/>
      <c r="AA26" s="245"/>
      <c r="AB26" s="246"/>
      <c r="AC26" s="44"/>
      <c r="AD26" s="250" t="s">
        <v>26</v>
      </c>
      <c r="AE26" s="251"/>
      <c r="AF26" s="45" t="s">
        <v>27</v>
      </c>
      <c r="AG26" s="250" t="s">
        <v>28</v>
      </c>
      <c r="AH26" s="252"/>
    </row>
    <row r="27" spans="1:34" ht="43.5" x14ac:dyDescent="0.35">
      <c r="E27" s="247"/>
      <c r="F27" s="248"/>
      <c r="G27" s="248"/>
      <c r="H27" s="249"/>
      <c r="I27" s="57" t="s">
        <v>30</v>
      </c>
      <c r="J27" s="58" t="s">
        <v>31</v>
      </c>
      <c r="K27" s="59" t="s">
        <v>32</v>
      </c>
      <c r="L27" s="60" t="s">
        <v>27</v>
      </c>
      <c r="M27" s="59" t="s">
        <v>33</v>
      </c>
      <c r="N27" s="61" t="s">
        <v>34</v>
      </c>
      <c r="O27" s="247"/>
      <c r="P27" s="248"/>
      <c r="Q27" s="248"/>
      <c r="R27" s="249"/>
      <c r="S27" s="57" t="s">
        <v>30</v>
      </c>
      <c r="T27" s="58" t="s">
        <v>31</v>
      </c>
      <c r="U27" s="59" t="s">
        <v>32</v>
      </c>
      <c r="V27" s="60" t="s">
        <v>27</v>
      </c>
      <c r="W27" s="59" t="s">
        <v>33</v>
      </c>
      <c r="X27" s="61" t="s">
        <v>34</v>
      </c>
      <c r="Y27" s="247"/>
      <c r="Z27" s="248"/>
      <c r="AA27" s="248"/>
      <c r="AB27" s="249"/>
      <c r="AC27" s="57" t="s">
        <v>30</v>
      </c>
      <c r="AD27" s="58" t="s">
        <v>31</v>
      </c>
      <c r="AE27" s="59" t="s">
        <v>32</v>
      </c>
      <c r="AF27" s="60" t="s">
        <v>27</v>
      </c>
      <c r="AG27" s="59" t="s">
        <v>33</v>
      </c>
      <c r="AH27" s="61" t="s">
        <v>34</v>
      </c>
    </row>
    <row r="28" spans="1:34" x14ac:dyDescent="0.35">
      <c r="E28" s="68" t="s">
        <v>37</v>
      </c>
      <c r="F28"/>
      <c r="G28"/>
      <c r="H28"/>
      <c r="I28" s="25">
        <f>B12</f>
        <v>5777</v>
      </c>
      <c r="J28" s="26"/>
      <c r="K28"/>
      <c r="L28" s="27"/>
      <c r="M28" s="26"/>
      <c r="N28" s="69"/>
      <c r="O28" s="68" t="s">
        <v>37</v>
      </c>
      <c r="P28"/>
      <c r="Q28"/>
      <c r="R28"/>
      <c r="S28" s="25">
        <f>B13</f>
        <v>7764.5</v>
      </c>
      <c r="T28" s="26"/>
      <c r="U28"/>
      <c r="V28" s="27"/>
      <c r="W28" s="26"/>
      <c r="X28" s="69"/>
      <c r="Y28" s="68" t="s">
        <v>37</v>
      </c>
      <c r="Z28"/>
      <c r="AA28"/>
      <c r="AB28"/>
      <c r="AC28" s="25">
        <f>B14</f>
        <v>10176</v>
      </c>
      <c r="AD28" s="26"/>
      <c r="AE28"/>
      <c r="AF28" s="27"/>
      <c r="AG28" s="26"/>
      <c r="AH28" s="69"/>
    </row>
    <row r="29" spans="1:34" x14ac:dyDescent="0.35">
      <c r="E29" s="68"/>
      <c r="F29" t="s">
        <v>21</v>
      </c>
      <c r="G29"/>
      <c r="H29"/>
      <c r="I29" s="28"/>
      <c r="J29" s="29">
        <f>(I28-L29)*(1-$B$9)</f>
        <v>5266.4360999999999</v>
      </c>
      <c r="K29" s="30">
        <f>(I28-L29)*$B$9</f>
        <v>416.56390000000005</v>
      </c>
      <c r="L29" s="31">
        <f>B19</f>
        <v>94</v>
      </c>
      <c r="M29" s="29">
        <f>L29-N29</f>
        <v>93</v>
      </c>
      <c r="N29" s="70">
        <f>C19</f>
        <v>1</v>
      </c>
      <c r="O29" s="68"/>
      <c r="P29" t="s">
        <v>21</v>
      </c>
      <c r="Q29"/>
      <c r="R29"/>
      <c r="S29" s="28"/>
      <c r="T29" s="29">
        <f>(S28-V29)*(1-$B$9)</f>
        <v>7108.2523499999998</v>
      </c>
      <c r="U29" s="30">
        <f>(S28-V29)*$B$9</f>
        <v>562.24765000000002</v>
      </c>
      <c r="V29" s="31">
        <f>B20</f>
        <v>94</v>
      </c>
      <c r="W29" s="29">
        <f>V29-X29</f>
        <v>93</v>
      </c>
      <c r="X29" s="70">
        <f>C20</f>
        <v>1</v>
      </c>
      <c r="Y29" s="68"/>
      <c r="Z29" t="s">
        <v>21</v>
      </c>
      <c r="AA29"/>
      <c r="AB29"/>
      <c r="AC29" s="28"/>
      <c r="AD29" s="29">
        <f>(AC28-AF29)*(1-$B$9)</f>
        <v>9342.9894000000004</v>
      </c>
      <c r="AE29" s="30">
        <f>(AC28-AF29)*$B$9</f>
        <v>739.01060000000007</v>
      </c>
      <c r="AF29" s="31">
        <f>B21</f>
        <v>94</v>
      </c>
      <c r="AG29" s="29">
        <f>AF29-AH29</f>
        <v>93</v>
      </c>
      <c r="AH29" s="70">
        <f>C21</f>
        <v>1</v>
      </c>
    </row>
    <row r="30" spans="1:34" x14ac:dyDescent="0.35">
      <c r="E30" s="68"/>
      <c r="F30"/>
      <c r="G30"/>
      <c r="H30"/>
      <c r="I30" s="32"/>
      <c r="J30" s="33"/>
      <c r="K30" s="34"/>
      <c r="L30" s="35"/>
      <c r="M30" s="33"/>
      <c r="N30" s="71"/>
      <c r="O30" s="68"/>
      <c r="P30"/>
      <c r="Q30"/>
      <c r="R30"/>
      <c r="S30" s="32"/>
      <c r="T30" s="33"/>
      <c r="U30" s="34"/>
      <c r="V30" s="35"/>
      <c r="W30" s="33"/>
      <c r="X30" s="71"/>
      <c r="Y30" s="68"/>
      <c r="Z30"/>
      <c r="AA30"/>
      <c r="AB30"/>
      <c r="AC30" s="32"/>
      <c r="AD30" s="33"/>
      <c r="AE30" s="34"/>
      <c r="AF30" s="35"/>
      <c r="AG30" s="33"/>
      <c r="AH30" s="71"/>
    </row>
    <row r="31" spans="1:34" x14ac:dyDescent="0.35">
      <c r="E31" s="68" t="s">
        <v>38</v>
      </c>
      <c r="F31"/>
      <c r="G31"/>
      <c r="H31"/>
      <c r="I31" s="26"/>
      <c r="J31" s="36"/>
      <c r="K31" s="37"/>
      <c r="L31" s="38"/>
      <c r="M31" s="36"/>
      <c r="N31" s="72"/>
      <c r="O31" s="68" t="s">
        <v>38</v>
      </c>
      <c r="P31"/>
      <c r="Q31"/>
      <c r="R31"/>
      <c r="S31" s="26"/>
      <c r="T31" s="36"/>
      <c r="U31" s="37"/>
      <c r="V31" s="38"/>
      <c r="W31" s="36"/>
      <c r="X31" s="72"/>
      <c r="Y31" s="68" t="s">
        <v>38</v>
      </c>
      <c r="Z31"/>
      <c r="AA31"/>
      <c r="AB31"/>
      <c r="AC31" s="26"/>
      <c r="AD31" s="36"/>
      <c r="AE31" s="37"/>
      <c r="AF31" s="38"/>
      <c r="AG31" s="36"/>
      <c r="AH31" s="72"/>
    </row>
    <row r="32" spans="1:34" x14ac:dyDescent="0.35">
      <c r="E32" s="68"/>
      <c r="F32" t="s">
        <v>22</v>
      </c>
      <c r="G32"/>
      <c r="H32"/>
      <c r="I32" s="26"/>
      <c r="J32" s="26"/>
      <c r="K32" s="40">
        <f>K29*'Per case assumptions'!$G$17*'Per case assumptions'!$G$18</f>
        <v>85174.82063300001</v>
      </c>
      <c r="L32" s="39">
        <f>L29*'Per case assumptions'!$H$17*'Per case assumptions'!$H$18</f>
        <v>9610.09</v>
      </c>
      <c r="M32" s="39">
        <f>M29*'Per case assumptions'!$I$17*'Per case assumptions'!$I$18</f>
        <v>13582.650000000001</v>
      </c>
      <c r="N32" s="73"/>
      <c r="O32" s="68"/>
      <c r="P32" t="s">
        <v>22</v>
      </c>
      <c r="Q32"/>
      <c r="R32"/>
      <c r="S32" s="26"/>
      <c r="T32" s="26"/>
      <c r="U32" s="40">
        <f>U29*'Per case assumptions'!$G$17*'Per case assumptions'!$G$18</f>
        <v>114962.77699550001</v>
      </c>
      <c r="V32" s="39">
        <f>V29*'Per case assumptions'!$H$17*'Per case assumptions'!$H$18</f>
        <v>9610.09</v>
      </c>
      <c r="W32" s="39">
        <f>W29*'Per case assumptions'!$I$17*'Per case assumptions'!$I$18</f>
        <v>13582.650000000001</v>
      </c>
      <c r="X32" s="73"/>
      <c r="Y32" s="68"/>
      <c r="Z32" t="s">
        <v>22</v>
      </c>
      <c r="AA32"/>
      <c r="AB32"/>
      <c r="AC32" s="26"/>
      <c r="AD32" s="26"/>
      <c r="AE32" s="40">
        <f>AE29*'Per case assumptions'!$G$17*'Per case assumptions'!$G$18</f>
        <v>151105.497382</v>
      </c>
      <c r="AF32" s="39">
        <f>AF29*'Per case assumptions'!$H$17*'Per case assumptions'!$H$18</f>
        <v>9610.09</v>
      </c>
      <c r="AG32" s="39">
        <f>AG29*'Per case assumptions'!$I$17*'Per case assumptions'!$I$18</f>
        <v>13582.650000000001</v>
      </c>
      <c r="AH32" s="73"/>
    </row>
    <row r="33" spans="5:34" x14ac:dyDescent="0.35">
      <c r="E33" s="68"/>
      <c r="F33" t="s">
        <v>23</v>
      </c>
      <c r="G33"/>
      <c r="H33"/>
      <c r="I33" s="26"/>
      <c r="J33" s="41"/>
      <c r="K33" s="40">
        <f>K29*'Per case assumptions'!$G$20*'Per case assumptions'!$G$21</f>
        <v>23866.377638514798</v>
      </c>
      <c r="L33" s="39">
        <f>L29*'Per case assumptions'!$H$20*'Per case assumptions'!$H$21</f>
        <v>16156.749286390806</v>
      </c>
      <c r="M33" s="39">
        <f>M29*'Per case assumptions'!$I$20*'Per case assumptions'!$I$21</f>
        <v>0</v>
      </c>
      <c r="N33" s="73"/>
      <c r="O33" s="68"/>
      <c r="P33" t="s">
        <v>23</v>
      </c>
      <c r="Q33"/>
      <c r="R33"/>
      <c r="S33" s="26"/>
      <c r="T33" s="41"/>
      <c r="U33" s="40">
        <f>U29*'Per case assumptions'!$G$20*'Per case assumptions'!$G$21</f>
        <v>32213.100418129106</v>
      </c>
      <c r="V33" s="39">
        <f>V29*'Per case assumptions'!$H$20*'Per case assumptions'!$H$21</f>
        <v>16156.749286390806</v>
      </c>
      <c r="W33" s="39">
        <f>W29*'Per case assumptions'!$I$20*'Per case assumptions'!$I$21</f>
        <v>0</v>
      </c>
      <c r="X33" s="73"/>
      <c r="Y33" s="68"/>
      <c r="Z33" t="s">
        <v>23</v>
      </c>
      <c r="AA33"/>
      <c r="AB33"/>
      <c r="AC33" s="26"/>
      <c r="AD33" s="41"/>
      <c r="AE33" s="40">
        <f>AE29*'Per case assumptions'!$G$20*'Per case assumptions'!$G$21</f>
        <v>42340.457390727817</v>
      </c>
      <c r="AF33" s="39">
        <f>AF29*'Per case assumptions'!$H$20*'Per case assumptions'!$H$21</f>
        <v>16156.749286390806</v>
      </c>
      <c r="AG33" s="39">
        <f>AG29*'Per case assumptions'!$I$20*'Per case assumptions'!$I$21</f>
        <v>0</v>
      </c>
      <c r="AH33" s="73"/>
    </row>
    <row r="34" spans="5:34" x14ac:dyDescent="0.35">
      <c r="E34" s="68"/>
      <c r="F34" t="s">
        <v>24</v>
      </c>
      <c r="G34"/>
      <c r="H34"/>
      <c r="I34" s="26"/>
      <c r="J34" s="41"/>
      <c r="K34" s="40">
        <f>K29*'Per case assumptions'!$G$23*'Per case assumptions'!$G$24</f>
        <v>100666.41551010001</v>
      </c>
      <c r="L34" s="39">
        <f>L29*'Per case assumptions'!$H$23*'Per case assumptions'!$H$24</f>
        <v>15143.964</v>
      </c>
      <c r="M34" s="39">
        <f>M29*'Per case assumptions'!$I$23*'Per case assumptions'!$I$24</f>
        <v>0</v>
      </c>
      <c r="N34" s="73"/>
      <c r="O34" s="68"/>
      <c r="P34" t="s">
        <v>24</v>
      </c>
      <c r="Q34"/>
      <c r="R34"/>
      <c r="S34" s="26"/>
      <c r="T34" s="41"/>
      <c r="U34" s="40">
        <f>U29*'Per case assumptions'!$G$23*'Per case assumptions'!$G$24</f>
        <v>135872.20485134999</v>
      </c>
      <c r="V34" s="39">
        <f>V29*'Per case assumptions'!$H$23*'Per case assumptions'!$H$24</f>
        <v>15143.964</v>
      </c>
      <c r="W34" s="39">
        <f>W29*'Per case assumptions'!$I$23*'Per case assumptions'!$I$24</f>
        <v>0</v>
      </c>
      <c r="X34" s="73"/>
      <c r="Y34" s="68"/>
      <c r="Z34" t="s">
        <v>24</v>
      </c>
      <c r="AA34"/>
      <c r="AB34"/>
      <c r="AC34" s="26"/>
      <c r="AD34" s="41"/>
      <c r="AE34" s="40">
        <f>AE29*'Per case assumptions'!$G$23*'Per case assumptions'!$G$24</f>
        <v>178588.56258540001</v>
      </c>
      <c r="AF34" s="39">
        <f>AF29*'Per case assumptions'!$H$23*'Per case assumptions'!$H$24</f>
        <v>15143.964</v>
      </c>
      <c r="AG34" s="39">
        <f>AG29*'Per case assumptions'!$I$23*'Per case assumptions'!$I$24</f>
        <v>0</v>
      </c>
      <c r="AH34" s="73"/>
    </row>
    <row r="35" spans="5:34" x14ac:dyDescent="0.35">
      <c r="E35" s="68"/>
      <c r="F35" t="s">
        <v>12</v>
      </c>
      <c r="G35"/>
      <c r="H35"/>
      <c r="I35" s="26"/>
      <c r="J35" s="26"/>
      <c r="K35" s="66">
        <f>K29*'Per case assumptions'!$G$26*'Per case assumptions'!$G$27</f>
        <v>0</v>
      </c>
      <c r="L35" s="67">
        <f>L29*'Per case assumptions'!$H$26*'Per case assumptions'!$H$27</f>
        <v>1637103.06</v>
      </c>
      <c r="M35" s="67">
        <f>M29*'Per case assumptions'!$I$26*'Per case assumptions'!$I$27</f>
        <v>0</v>
      </c>
      <c r="N35" s="73"/>
      <c r="O35" s="68"/>
      <c r="P35" t="s">
        <v>12</v>
      </c>
      <c r="Q35"/>
      <c r="R35"/>
      <c r="S35" s="26"/>
      <c r="T35" s="26"/>
      <c r="U35" s="66">
        <f>U29*'Per case assumptions'!$G$26*'Per case assumptions'!$G$27</f>
        <v>0</v>
      </c>
      <c r="V35" s="67">
        <f>V29*'Per case assumptions'!$H$26*'Per case assumptions'!$H$27</f>
        <v>1637103.06</v>
      </c>
      <c r="W35" s="67">
        <f>W29*'Per case assumptions'!$I$26*'Per case assumptions'!$I$27</f>
        <v>0</v>
      </c>
      <c r="X35" s="73"/>
      <c r="Y35" s="68"/>
      <c r="Z35" t="s">
        <v>12</v>
      </c>
      <c r="AA35"/>
      <c r="AB35"/>
      <c r="AC35" s="26"/>
      <c r="AD35" s="26"/>
      <c r="AE35" s="66">
        <f>AE29*'Per case assumptions'!$G$26*'Per case assumptions'!$G$27</f>
        <v>0</v>
      </c>
      <c r="AF35" s="67">
        <f>AF29*'Per case assumptions'!$H$26*'Per case assumptions'!$H$27</f>
        <v>1637103.06</v>
      </c>
      <c r="AG35" s="67">
        <f>AG29*'Per case assumptions'!$I$26*'Per case assumptions'!$I$27</f>
        <v>0</v>
      </c>
      <c r="AH35" s="73"/>
    </row>
    <row r="36" spans="5:34" x14ac:dyDescent="0.35">
      <c r="E36" s="68"/>
      <c r="F36" s="17" t="s">
        <v>25</v>
      </c>
      <c r="G36"/>
      <c r="H36"/>
      <c r="I36" s="26"/>
      <c r="J36" s="26"/>
      <c r="K36" s="42">
        <f>SUM(K32:K35)</f>
        <v>209707.61378161481</v>
      </c>
      <c r="L36" s="43">
        <f>SUM(L32:L35)</f>
        <v>1678013.8632863909</v>
      </c>
      <c r="M36" s="42">
        <f>SUM(M32:M35)</f>
        <v>13582.650000000001</v>
      </c>
      <c r="N36" s="69"/>
      <c r="O36" s="68"/>
      <c r="P36" s="17" t="s">
        <v>25</v>
      </c>
      <c r="Q36"/>
      <c r="R36"/>
      <c r="S36" s="26"/>
      <c r="T36" s="26"/>
      <c r="U36" s="42">
        <f>SUM(U32:U35)</f>
        <v>283048.08226497914</v>
      </c>
      <c r="V36" s="43">
        <f>SUM(V32:V35)</f>
        <v>1678013.8632863909</v>
      </c>
      <c r="W36" s="42">
        <f>SUM(W32:W35)</f>
        <v>13582.650000000001</v>
      </c>
      <c r="X36" s="69"/>
      <c r="Y36" s="68"/>
      <c r="Z36" s="17" t="s">
        <v>25</v>
      </c>
      <c r="AA36"/>
      <c r="AB36"/>
      <c r="AC36" s="26"/>
      <c r="AD36" s="26"/>
      <c r="AE36" s="42">
        <f>SUM(AE32:AE35)</f>
        <v>372034.51735812787</v>
      </c>
      <c r="AF36" s="43">
        <f>SUM(AF32:AF35)</f>
        <v>1678013.8632863909</v>
      </c>
      <c r="AG36" s="42">
        <f>SUM(AG32:AG35)</f>
        <v>13582.650000000001</v>
      </c>
      <c r="AH36" s="69"/>
    </row>
    <row r="37" spans="5:34" x14ac:dyDescent="0.35">
      <c r="E37" s="5"/>
      <c r="F37"/>
      <c r="G37"/>
      <c r="H37"/>
      <c r="I37" s="27"/>
      <c r="J37"/>
      <c r="K37" s="18"/>
      <c r="L37" s="27"/>
      <c r="M37"/>
      <c r="N37" s="69"/>
      <c r="O37" s="5"/>
      <c r="P37"/>
      <c r="Q37"/>
      <c r="R37"/>
      <c r="S37" s="27"/>
      <c r="T37"/>
      <c r="U37" s="18"/>
      <c r="V37" s="27"/>
      <c r="W37"/>
      <c r="X37" s="69"/>
      <c r="Y37" s="5"/>
      <c r="Z37"/>
      <c r="AA37"/>
      <c r="AB37"/>
      <c r="AC37" s="27"/>
      <c r="AD37"/>
      <c r="AE37" s="18"/>
      <c r="AF37" s="27"/>
      <c r="AG37"/>
      <c r="AH37" s="69"/>
    </row>
    <row r="38" spans="5:34" x14ac:dyDescent="0.35">
      <c r="E38" s="68" t="s">
        <v>39</v>
      </c>
      <c r="F38"/>
      <c r="G38"/>
      <c r="H38"/>
      <c r="I38" s="27"/>
      <c r="J38" s="46"/>
      <c r="K38" s="46"/>
      <c r="L38" s="47"/>
      <c r="M38" s="46"/>
      <c r="N38" s="74">
        <f>N29*'Per case assumptions'!$J$40</f>
        <v>9702616.4879933652</v>
      </c>
      <c r="O38" s="68" t="s">
        <v>39</v>
      </c>
      <c r="P38"/>
      <c r="Q38"/>
      <c r="R38"/>
      <c r="S38" s="27"/>
      <c r="T38" s="46"/>
      <c r="U38" s="46"/>
      <c r="V38" s="47"/>
      <c r="W38" s="46"/>
      <c r="X38" s="74">
        <f>X29*'Per case assumptions'!$J$40</f>
        <v>9702616.4879933652</v>
      </c>
      <c r="Y38" s="68" t="s">
        <v>39</v>
      </c>
      <c r="Z38"/>
      <c r="AA38"/>
      <c r="AB38"/>
      <c r="AC38" s="27"/>
      <c r="AD38" s="46"/>
      <c r="AE38" s="46"/>
      <c r="AF38" s="47"/>
      <c r="AG38" s="46"/>
      <c r="AH38" s="74">
        <f>AH29*'Per case assumptions'!$J$40</f>
        <v>9702616.4879933652</v>
      </c>
    </row>
    <row r="39" spans="5:34" x14ac:dyDescent="0.35">
      <c r="E39" s="68"/>
      <c r="F39"/>
      <c r="G39"/>
      <c r="H39"/>
      <c r="I39" s="27"/>
      <c r="J39"/>
      <c r="K39"/>
      <c r="L39" s="27"/>
      <c r="M39"/>
      <c r="N39" s="69"/>
      <c r="O39" s="68"/>
      <c r="P39"/>
      <c r="Q39"/>
      <c r="R39"/>
      <c r="S39" s="27"/>
      <c r="T39"/>
      <c r="U39"/>
      <c r="V39" s="27"/>
      <c r="W39"/>
      <c r="X39" s="69"/>
      <c r="Y39" s="68"/>
      <c r="Z39"/>
      <c r="AA39"/>
      <c r="AB39"/>
      <c r="AC39" s="27"/>
      <c r="AD39"/>
      <c r="AE39"/>
      <c r="AF39" s="27"/>
      <c r="AG39"/>
      <c r="AH39" s="69"/>
    </row>
    <row r="40" spans="5:34" x14ac:dyDescent="0.35">
      <c r="E40" s="68" t="s">
        <v>40</v>
      </c>
      <c r="F40"/>
      <c r="G40"/>
      <c r="H40"/>
      <c r="I40" s="27"/>
      <c r="J40" s="49">
        <f>J29*'Per case assumptions'!$F$32*'Per case assumptions'!$F$33*'Per case assumptions'!$F$34</f>
        <v>320891.60001608293</v>
      </c>
      <c r="K40" s="48">
        <f>K29*'Per case assumptions'!$G$32*'Per case assumptions'!$G$33*'Per case assumptions'!$G$34</f>
        <v>84428.403657564981</v>
      </c>
      <c r="L40" s="50">
        <f>L29*'Per case assumptions'!$H$32*'Per case assumptions'!$H$33*'Per case assumptions'!$H$34</f>
        <v>51546.999147972587</v>
      </c>
      <c r="M40" s="49">
        <f>M29*'Per case assumptions'!$I$32*'Per case assumptions'!$I$33*'Per case assumptions'!$I$34</f>
        <v>25499.313408305585</v>
      </c>
      <c r="N40" s="74"/>
      <c r="O40" s="68" t="s">
        <v>40</v>
      </c>
      <c r="P40"/>
      <c r="Q40"/>
      <c r="R40"/>
      <c r="S40" s="27"/>
      <c r="T40" s="49">
        <f>T29*'Per case assumptions'!$F$32*'Per case assumptions'!$F$33*'Per case assumptions'!$F$34</f>
        <v>433116.13899760053</v>
      </c>
      <c r="U40" s="48">
        <f>U29*'Per case assumptions'!$G$32*'Per case assumptions'!$G$33*'Per case assumptions'!$G$34</f>
        <v>113955.31765886894</v>
      </c>
      <c r="V40" s="50">
        <f>V29*'Per case assumptions'!$H$32*'Per case assumptions'!$H$33*'Per case assumptions'!$H$34</f>
        <v>51546.999147972587</v>
      </c>
      <c r="W40" s="49">
        <f>W29*'Per case assumptions'!$I$32*'Per case assumptions'!$I$33*'Per case assumptions'!$I$34</f>
        <v>25499.313408305585</v>
      </c>
      <c r="X40" s="74"/>
      <c r="Y40" s="68" t="s">
        <v>40</v>
      </c>
      <c r="Z40"/>
      <c r="AA40"/>
      <c r="AB40"/>
      <c r="AC40" s="27"/>
      <c r="AD40" s="49">
        <f>AD29*'Per case assumptions'!$F$32*'Per case assumptions'!$F$33*'Per case assumptions'!$F$34</f>
        <v>569281.91296184203</v>
      </c>
      <c r="AE40" s="48">
        <f>AE29*'Per case assumptions'!$G$32*'Per case assumptions'!$G$33*'Per case assumptions'!$G$34</f>
        <v>149781.30664711774</v>
      </c>
      <c r="AF40" s="50">
        <f>AF29*'Per case assumptions'!$H$32*'Per case assumptions'!$H$33*'Per case assumptions'!$H$34</f>
        <v>51546.999147972587</v>
      </c>
      <c r="AG40" s="49">
        <f>AG29*'Per case assumptions'!$I$32*'Per case assumptions'!$I$33*'Per case assumptions'!$I$34</f>
        <v>25499.313408305585</v>
      </c>
      <c r="AH40" s="74"/>
    </row>
    <row r="41" spans="5:34" x14ac:dyDescent="0.35">
      <c r="E41" s="68"/>
      <c r="F41"/>
      <c r="G41"/>
      <c r="H41" s="62" t="s">
        <v>68</v>
      </c>
      <c r="I41" s="63"/>
      <c r="J41" s="64">
        <f>J29*'Per case assumptions'!$F$32*'Per case assumptions'!$F$33</f>
        <v>1170.7182121578001</v>
      </c>
      <c r="K41" s="64">
        <f>K29*'Per case assumptions'!$G$32*'Per case assumptions'!$G$33</f>
        <v>305.85454542480005</v>
      </c>
      <c r="L41" s="65">
        <f>L29*'Per case assumptions'!$H$32*'Per case assumptions'!$H$33</f>
        <v>182.01351600000001</v>
      </c>
      <c r="M41" s="64">
        <f>M29*'Per case assumptions'!$I$32*'Per case assumptions'!$I$33</f>
        <v>90.038601</v>
      </c>
      <c r="N41" s="74"/>
      <c r="O41" s="68"/>
      <c r="P41"/>
      <c r="Q41"/>
      <c r="R41" s="62" t="s">
        <v>68</v>
      </c>
      <c r="S41" s="63"/>
      <c r="T41" s="64">
        <f>T29*'Per case assumptions'!$F$32*'Per case assumptions'!$F$33</f>
        <v>1580.1502809003</v>
      </c>
      <c r="U41" s="64">
        <f>U29*'Per case assumptions'!$G$32*'Per case assumptions'!$G$33</f>
        <v>412.82021655480003</v>
      </c>
      <c r="V41" s="65">
        <f>V29*'Per case assumptions'!$H$32*'Per case assumptions'!$H$33</f>
        <v>182.01351600000001</v>
      </c>
      <c r="W41" s="64">
        <f>W29*'Per case assumptions'!$I$32*'Per case assumptions'!$I$33</f>
        <v>90.038601</v>
      </c>
      <c r="X41" s="74"/>
      <c r="Y41" s="68"/>
      <c r="Z41"/>
      <c r="AA41"/>
      <c r="AB41" s="62" t="s">
        <v>68</v>
      </c>
      <c r="AC41" s="63"/>
      <c r="AD41" s="64">
        <f>AD29*'Per case assumptions'!$F$32*'Per case assumptions'!$F$33</f>
        <v>2076.9278576412003</v>
      </c>
      <c r="AE41" s="64">
        <f>AE29*'Per case assumptions'!$G$32*'Per case assumptions'!$G$33</f>
        <v>542.60523085920011</v>
      </c>
      <c r="AF41" s="65">
        <f>AF29*'Per case assumptions'!$H$32*'Per case assumptions'!$H$33</f>
        <v>182.01351600000001</v>
      </c>
      <c r="AG41" s="64">
        <f>AG29*'Per case assumptions'!$I$32*'Per case assumptions'!$I$33</f>
        <v>90.038601</v>
      </c>
      <c r="AH41" s="74"/>
    </row>
    <row r="42" spans="5:34" x14ac:dyDescent="0.35">
      <c r="E42" s="68"/>
      <c r="F42"/>
      <c r="G42"/>
      <c r="H42"/>
      <c r="I42" s="27"/>
      <c r="J42" s="49"/>
      <c r="K42" s="49"/>
      <c r="L42" s="50"/>
      <c r="M42" s="49"/>
      <c r="N42" s="74"/>
      <c r="O42" s="68"/>
      <c r="P42"/>
      <c r="Q42"/>
      <c r="R42"/>
      <c r="S42" s="27"/>
      <c r="T42" s="49"/>
      <c r="U42" s="49"/>
      <c r="V42" s="50"/>
      <c r="W42" s="49"/>
      <c r="X42" s="74"/>
      <c r="Y42" s="68"/>
      <c r="Z42"/>
      <c r="AA42"/>
      <c r="AB42"/>
      <c r="AC42" s="27"/>
      <c r="AD42" s="49"/>
      <c r="AE42" s="49"/>
      <c r="AF42" s="50"/>
      <c r="AG42" s="49"/>
      <c r="AH42" s="74"/>
    </row>
    <row r="43" spans="5:34" x14ac:dyDescent="0.35">
      <c r="E43" s="68" t="s">
        <v>41</v>
      </c>
      <c r="F43"/>
      <c r="G43"/>
      <c r="H43"/>
      <c r="I43" s="27"/>
      <c r="J43" s="51">
        <f>SUM(J36:J40)</f>
        <v>320891.60001608293</v>
      </c>
      <c r="K43" s="52">
        <f>SUM(K36:K40)</f>
        <v>294136.01743917982</v>
      </c>
      <c r="L43" s="53">
        <f>SUM(L36:L40)</f>
        <v>1729560.8624343635</v>
      </c>
      <c r="M43" s="54">
        <f>SUM(M36:M40)</f>
        <v>39081.963408305586</v>
      </c>
      <c r="N43" s="75">
        <f>N38</f>
        <v>9702616.4879933652</v>
      </c>
      <c r="O43" s="68" t="s">
        <v>41</v>
      </c>
      <c r="P43"/>
      <c r="Q43"/>
      <c r="R43"/>
      <c r="S43" s="27"/>
      <c r="T43" s="51">
        <f>SUM(T36:T40)</f>
        <v>433116.13899760053</v>
      </c>
      <c r="U43" s="52">
        <f>SUM(U36:U40)</f>
        <v>397003.3999238481</v>
      </c>
      <c r="V43" s="53">
        <f>SUM(V36:V40)</f>
        <v>1729560.8624343635</v>
      </c>
      <c r="W43" s="54">
        <f>SUM(W36:W40)</f>
        <v>39081.963408305586</v>
      </c>
      <c r="X43" s="75">
        <f>X38</f>
        <v>9702616.4879933652</v>
      </c>
      <c r="Y43" s="68" t="s">
        <v>41</v>
      </c>
      <c r="Z43"/>
      <c r="AA43"/>
      <c r="AB43"/>
      <c r="AC43" s="27"/>
      <c r="AD43" s="51">
        <f>SUM(AD36:AD40)</f>
        <v>569281.91296184203</v>
      </c>
      <c r="AE43" s="52">
        <f>SUM(AE36:AE40)</f>
        <v>521815.82400524558</v>
      </c>
      <c r="AF43" s="53">
        <f>SUM(AF36:AF40)</f>
        <v>1729560.8624343635</v>
      </c>
      <c r="AG43" s="54">
        <f>SUM(AG36:AG40)</f>
        <v>39081.963408305586</v>
      </c>
      <c r="AH43" s="75">
        <f>AH38</f>
        <v>9702616.4879933652</v>
      </c>
    </row>
    <row r="44" spans="5:34" x14ac:dyDescent="0.35">
      <c r="E44" s="68"/>
      <c r="F44"/>
      <c r="G44"/>
      <c r="H44"/>
      <c r="I44" s="47"/>
      <c r="J44"/>
      <c r="K44"/>
      <c r="L44"/>
      <c r="M44"/>
      <c r="N44" s="69"/>
      <c r="O44" s="68"/>
      <c r="P44"/>
      <c r="Q44"/>
      <c r="R44"/>
      <c r="S44" s="47"/>
      <c r="T44"/>
      <c r="U44"/>
      <c r="V44"/>
      <c r="W44"/>
      <c r="X44" s="69"/>
      <c r="Y44" s="68"/>
      <c r="Z44"/>
      <c r="AA44"/>
      <c r="AB44"/>
      <c r="AC44" s="47"/>
      <c r="AD44"/>
      <c r="AE44"/>
      <c r="AF44"/>
      <c r="AG44"/>
      <c r="AH44" s="69"/>
    </row>
    <row r="45" spans="5:34" ht="15" thickBot="1" x14ac:dyDescent="0.4">
      <c r="E45" s="76" t="s">
        <v>42</v>
      </c>
      <c r="F45" s="55"/>
      <c r="G45" s="55"/>
      <c r="H45" s="55"/>
      <c r="I45" s="56">
        <f>SUM(J43:N43)</f>
        <v>12086286.931291297</v>
      </c>
      <c r="J45" s="55"/>
      <c r="K45" s="55"/>
      <c r="L45" s="55"/>
      <c r="M45" s="55"/>
      <c r="N45" s="77"/>
      <c r="O45" s="76" t="s">
        <v>42</v>
      </c>
      <c r="P45" s="55"/>
      <c r="Q45" s="55"/>
      <c r="R45" s="55"/>
      <c r="S45" s="56">
        <f>SUM(T43:X43)</f>
        <v>12301378.852757484</v>
      </c>
      <c r="T45" s="55"/>
      <c r="U45" s="55"/>
      <c r="V45" s="55"/>
      <c r="W45" s="55"/>
      <c r="X45" s="77"/>
      <c r="Y45" s="76" t="s">
        <v>42</v>
      </c>
      <c r="Z45" s="55"/>
      <c r="AA45" s="55"/>
      <c r="AB45" s="55"/>
      <c r="AC45" s="56">
        <f>SUM(AD43:AH43)</f>
        <v>12562357.050803121</v>
      </c>
      <c r="AD45" s="55"/>
      <c r="AE45" s="55"/>
      <c r="AF45" s="55"/>
      <c r="AG45" s="55"/>
      <c r="AH45" s="77"/>
    </row>
    <row r="46" spans="5:34" ht="15.75" customHeight="1" thickTop="1" x14ac:dyDescent="0.35">
      <c r="E46" s="253" t="s">
        <v>36</v>
      </c>
      <c r="F46" s="254"/>
      <c r="G46" s="254"/>
      <c r="H46" s="254"/>
      <c r="I46" s="254"/>
      <c r="J46" s="254"/>
      <c r="K46" s="254"/>
      <c r="L46" s="254"/>
      <c r="M46" s="254"/>
      <c r="N46" s="255"/>
      <c r="O46" s="253" t="s">
        <v>36</v>
      </c>
      <c r="P46" s="254"/>
      <c r="Q46" s="254"/>
      <c r="R46" s="254"/>
      <c r="S46" s="254"/>
      <c r="T46" s="254"/>
      <c r="U46" s="254"/>
      <c r="V46" s="254"/>
      <c r="W46" s="254"/>
      <c r="X46" s="255"/>
      <c r="Y46" s="253" t="s">
        <v>36</v>
      </c>
      <c r="Z46" s="254"/>
      <c r="AA46" s="254"/>
      <c r="AB46" s="254"/>
      <c r="AC46" s="254"/>
      <c r="AD46" s="254"/>
      <c r="AE46" s="254"/>
      <c r="AF46" s="254"/>
      <c r="AG46" s="254"/>
      <c r="AH46" s="255"/>
    </row>
    <row r="47" spans="5:34" ht="15" thickBot="1" x14ac:dyDescent="0.4">
      <c r="E47" s="256"/>
      <c r="F47" s="257"/>
      <c r="G47" s="257"/>
      <c r="H47" s="257"/>
      <c r="I47" s="257"/>
      <c r="J47" s="257"/>
      <c r="K47" s="257"/>
      <c r="L47" s="257"/>
      <c r="M47" s="257"/>
      <c r="N47" s="258"/>
      <c r="O47" s="256"/>
      <c r="P47" s="257"/>
      <c r="Q47" s="257"/>
      <c r="R47" s="257"/>
      <c r="S47" s="257"/>
      <c r="T47" s="257"/>
      <c r="U47" s="257"/>
      <c r="V47" s="257"/>
      <c r="W47" s="257"/>
      <c r="X47" s="258"/>
      <c r="Y47" s="256"/>
      <c r="Z47" s="257"/>
      <c r="AA47" s="257"/>
      <c r="AB47" s="257"/>
      <c r="AC47" s="257"/>
      <c r="AD47" s="257"/>
      <c r="AE47" s="257"/>
      <c r="AF47" s="257"/>
      <c r="AG47" s="257"/>
      <c r="AH47" s="258"/>
    </row>
  </sheetData>
  <mergeCells count="21">
    <mergeCell ref="A22:C23"/>
    <mergeCell ref="E22:N23"/>
    <mergeCell ref="J2:K2"/>
    <mergeCell ref="M2:N2"/>
    <mergeCell ref="E2:H3"/>
    <mergeCell ref="E1:N1"/>
    <mergeCell ref="E25:N25"/>
    <mergeCell ref="E26:H27"/>
    <mergeCell ref="J26:K26"/>
    <mergeCell ref="M26:N26"/>
    <mergeCell ref="E46:N47"/>
    <mergeCell ref="O25:X25"/>
    <mergeCell ref="O26:R27"/>
    <mergeCell ref="T26:U26"/>
    <mergeCell ref="W26:X26"/>
    <mergeCell ref="O46:X47"/>
    <mergeCell ref="Y25:AH25"/>
    <mergeCell ref="Y26:AB27"/>
    <mergeCell ref="AD26:AE26"/>
    <mergeCell ref="AG26:AH26"/>
    <mergeCell ref="Y46:AH4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X200"/>
  <sheetViews>
    <sheetView zoomScale="80" zoomScaleNormal="80" workbookViewId="0">
      <pane xSplit="4" topLeftCell="E1" activePane="topRight" state="frozen"/>
      <selection pane="topRight" activeCell="J19" sqref="J19:M19"/>
    </sheetView>
  </sheetViews>
  <sheetFormatPr defaultRowHeight="14.5" x14ac:dyDescent="0.35"/>
  <cols>
    <col min="1" max="1" width="54.54296875" style="1" customWidth="1"/>
    <col min="2" max="2" width="15.26953125" style="1" customWidth="1"/>
    <col min="3" max="3" width="18.7265625" style="1" customWidth="1"/>
    <col min="4" max="4" width="11.1796875" style="1" bestFit="1" customWidth="1"/>
    <col min="5" max="5" width="5.1796875" customWidth="1"/>
    <col min="6" max="7" width="4" customWidth="1"/>
    <col min="8" max="8" width="24.453125" customWidth="1"/>
    <col min="9" max="14" width="14.26953125" customWidth="1"/>
    <col min="15" max="15" width="5.1796875" style="81" customWidth="1"/>
    <col min="16" max="17" width="4" style="81" customWidth="1"/>
    <col min="18" max="18" width="24.453125" style="81" customWidth="1"/>
    <col min="19" max="24" width="14.26953125" style="81" customWidth="1"/>
    <col min="25" max="25" width="5.1796875" style="81" customWidth="1"/>
    <col min="26" max="27" width="4" style="81" customWidth="1"/>
    <col min="28" max="28" width="24.453125" style="81" customWidth="1"/>
    <col min="29" max="34" width="14.26953125" style="81" customWidth="1"/>
    <col min="35" max="49" width="9.1796875" style="81" customWidth="1"/>
    <col min="50" max="76" width="9.1796875" style="81"/>
  </cols>
  <sheetData>
    <row r="1" spans="1:14" ht="15" thickBot="1" x14ac:dyDescent="0.4">
      <c r="E1" s="241" t="s">
        <v>97</v>
      </c>
      <c r="F1" s="242"/>
      <c r="G1" s="242"/>
      <c r="H1" s="242"/>
      <c r="I1" s="242"/>
      <c r="J1" s="242"/>
      <c r="K1" s="242"/>
      <c r="L1" s="242"/>
      <c r="M1" s="242"/>
      <c r="N1" s="243"/>
    </row>
    <row r="2" spans="1:14" x14ac:dyDescent="0.35">
      <c r="E2" s="244" t="s">
        <v>29</v>
      </c>
      <c r="F2" s="245"/>
      <c r="G2" s="245"/>
      <c r="H2" s="246"/>
      <c r="I2" s="44"/>
      <c r="J2" s="250" t="s">
        <v>26</v>
      </c>
      <c r="K2" s="251"/>
      <c r="L2" s="45" t="s">
        <v>27</v>
      </c>
      <c r="M2" s="250" t="s">
        <v>28</v>
      </c>
      <c r="N2" s="252"/>
    </row>
    <row r="3" spans="1:14" ht="44" thickBot="1" x14ac:dyDescent="0.4">
      <c r="E3" s="247"/>
      <c r="F3" s="248"/>
      <c r="G3" s="248"/>
      <c r="H3" s="249"/>
      <c r="I3" s="78" t="s">
        <v>81</v>
      </c>
      <c r="J3" s="58" t="s">
        <v>31</v>
      </c>
      <c r="K3" s="59" t="s">
        <v>32</v>
      </c>
      <c r="L3" s="60" t="s">
        <v>27</v>
      </c>
      <c r="M3" s="59" t="s">
        <v>33</v>
      </c>
      <c r="N3" s="61" t="s">
        <v>34</v>
      </c>
    </row>
    <row r="4" spans="1:14" x14ac:dyDescent="0.35">
      <c r="A4" s="112" t="s">
        <v>78</v>
      </c>
      <c r="B4" s="194">
        <f>'Cases Averted'!G7</f>
        <v>93.888597124663562</v>
      </c>
      <c r="C4" s="195" t="s">
        <v>10</v>
      </c>
      <c r="E4" s="68" t="s">
        <v>37</v>
      </c>
      <c r="I4" s="25">
        <f>B4</f>
        <v>93.888597124663562</v>
      </c>
      <c r="J4" s="26"/>
      <c r="L4" s="27"/>
      <c r="M4" s="26"/>
      <c r="N4" s="69"/>
    </row>
    <row r="5" spans="1:14" x14ac:dyDescent="0.35">
      <c r="A5" s="84" t="s">
        <v>12</v>
      </c>
      <c r="B5" s="196">
        <f t="shared" ref="B5" si="0">B4*B6</f>
        <v>33.303879734786321</v>
      </c>
      <c r="C5" s="190" t="s">
        <v>10</v>
      </c>
      <c r="E5" s="68"/>
      <c r="F5" t="s">
        <v>21</v>
      </c>
      <c r="I5" s="28"/>
      <c r="J5" s="29">
        <f>(I4-L5)*(1-$B$9)</f>
        <v>56.143857605199237</v>
      </c>
      <c r="K5" s="30">
        <f>(I4-L5)*$B$9</f>
        <v>4.4408597846780022</v>
      </c>
      <c r="L5" s="31">
        <f>B5</f>
        <v>33.303879734786321</v>
      </c>
      <c r="M5" s="29">
        <f>L5-N5</f>
        <v>32.949583141863059</v>
      </c>
      <c r="N5" s="70">
        <f>$B$7*L5</f>
        <v>0.35429659292325871</v>
      </c>
    </row>
    <row r="6" spans="1:14" x14ac:dyDescent="0.35">
      <c r="A6" s="84" t="s">
        <v>13</v>
      </c>
      <c r="B6" s="197">
        <f>'Cost Estimates (Reported Cases)'!$B$6</f>
        <v>0.35471698113207545</v>
      </c>
      <c r="C6" s="190" t="s">
        <v>79</v>
      </c>
      <c r="E6" s="68"/>
      <c r="I6" s="32"/>
      <c r="J6" s="33"/>
      <c r="K6" s="34"/>
      <c r="L6" s="35"/>
      <c r="M6" s="33"/>
      <c r="N6" s="71"/>
    </row>
    <row r="7" spans="1:14" ht="15" thickBot="1" x14ac:dyDescent="0.4">
      <c r="A7" s="85" t="s">
        <v>80</v>
      </c>
      <c r="B7" s="89">
        <f>'Cost Estimates (Reported Cases)'!$B$7/'Cost Estimates (Reported Cases)'!$B$5</f>
        <v>1.0638297872340425E-2</v>
      </c>
      <c r="C7" s="191" t="s">
        <v>79</v>
      </c>
      <c r="E7" s="68" t="s">
        <v>38</v>
      </c>
      <c r="I7" s="26"/>
      <c r="J7" s="36"/>
      <c r="K7" s="37"/>
      <c r="L7" s="38"/>
      <c r="M7" s="36"/>
      <c r="N7" s="72"/>
    </row>
    <row r="8" spans="1:14" ht="15" thickBot="1" x14ac:dyDescent="0.4">
      <c r="A8" s="79"/>
      <c r="C8" s="192"/>
      <c r="E8" s="68"/>
      <c r="F8" t="s">
        <v>22</v>
      </c>
      <c r="I8" s="26"/>
      <c r="J8" s="26"/>
      <c r="K8" s="40">
        <f>K5*'Per case assumptions'!$G$17*'Per case assumptions'!$G$18</f>
        <v>908.02260017311119</v>
      </c>
      <c r="L8" s="39">
        <f>L5*'Per case assumptions'!$H$17*'Per case assumptions'!$H$18</f>
        <v>3404.8221446858793</v>
      </c>
      <c r="M8" s="39">
        <f>M5*'Per case assumptions'!$I$17*'Per case assumptions'!$I$18</f>
        <v>4812.2866178691002</v>
      </c>
      <c r="N8" s="73"/>
    </row>
    <row r="9" spans="1:14" ht="15" thickBot="1" x14ac:dyDescent="0.4">
      <c r="A9" s="92" t="s">
        <v>65</v>
      </c>
      <c r="B9" s="90">
        <v>7.3300000000000004E-2</v>
      </c>
      <c r="C9" s="193" t="s">
        <v>66</v>
      </c>
      <c r="E9" s="68"/>
      <c r="F9" t="s">
        <v>23</v>
      </c>
      <c r="I9" s="26"/>
      <c r="J9" s="41"/>
      <c r="K9" s="40">
        <f>K5*'Per case assumptions'!$G$20*'Per case assumptions'!$G$21</f>
        <v>254.43212112431894</v>
      </c>
      <c r="L9" s="39">
        <f>L5*'Per case assumptions'!$H$20*'Per case assumptions'!$H$21</f>
        <v>5724.2812248835544</v>
      </c>
      <c r="M9" s="39">
        <f>M5*'Per case assumptions'!$I$20*'Per case assumptions'!$I$21</f>
        <v>0</v>
      </c>
      <c r="N9" s="73"/>
    </row>
    <row r="10" spans="1:14" ht="15" thickBot="1" x14ac:dyDescent="0.4">
      <c r="A10" s="79"/>
      <c r="E10" s="68"/>
      <c r="F10" t="s">
        <v>24</v>
      </c>
      <c r="I10" s="26"/>
      <c r="J10" s="41"/>
      <c r="K10" s="40">
        <f>K5*'Per case assumptions'!$G$23*'Per case assumptions'!$G$24</f>
        <v>1073.1737347055011</v>
      </c>
      <c r="L10" s="39">
        <f>L5*'Per case assumptions'!$H$23*'Per case assumptions'!$H$24</f>
        <v>5365.4548485524856</v>
      </c>
      <c r="M10" s="39">
        <f>M5*'Per case assumptions'!$I$23*'Per case assumptions'!$I$24</f>
        <v>0</v>
      </c>
      <c r="N10" s="73"/>
    </row>
    <row r="11" spans="1:14" x14ac:dyDescent="0.35">
      <c r="A11" s="266" t="s">
        <v>20</v>
      </c>
      <c r="B11" s="267"/>
      <c r="C11" s="80"/>
      <c r="D11" s="80"/>
      <c r="E11" s="68"/>
      <c r="F11" t="s">
        <v>12</v>
      </c>
      <c r="I11" s="26"/>
      <c r="J11" s="26"/>
      <c r="K11" s="66">
        <f>K5*'Per case assumptions'!$G$26*'Per case assumptions'!$G$27</f>
        <v>0</v>
      </c>
      <c r="L11" s="67">
        <f>L5*'Per case assumptions'!$H$26*'Per case assumptions'!$H$27</f>
        <v>580020.03642224125</v>
      </c>
      <c r="M11" s="67">
        <f>M5*'Per case assumptions'!$I$26*'Per case assumptions'!$I$27</f>
        <v>0</v>
      </c>
      <c r="N11" s="73"/>
    </row>
    <row r="12" spans="1:14" x14ac:dyDescent="0.35">
      <c r="A12" s="268"/>
      <c r="B12" s="269"/>
      <c r="C12" s="80"/>
      <c r="D12" s="80"/>
      <c r="E12" s="68"/>
      <c r="F12" s="17" t="s">
        <v>25</v>
      </c>
      <c r="I12" s="26"/>
      <c r="J12" s="26"/>
      <c r="K12" s="42">
        <f>SUM(K8:K11)</f>
        <v>2235.6284560029312</v>
      </c>
      <c r="L12" s="43">
        <f>SUM(L8:L11)</f>
        <v>594514.59464036312</v>
      </c>
      <c r="M12" s="42">
        <f>SUM(M8:M11)</f>
        <v>4812.2866178691002</v>
      </c>
      <c r="N12" s="69"/>
    </row>
    <row r="13" spans="1:14" x14ac:dyDescent="0.35">
      <c r="A13" s="84">
        <f>'Cases Averted'!E13</f>
        <v>21.8</v>
      </c>
      <c r="B13" s="201">
        <f>'Cases Averted'!F13</f>
        <v>2046.7714173176657</v>
      </c>
      <c r="C13" s="80"/>
      <c r="D13" s="80"/>
      <c r="E13" s="5"/>
      <c r="I13" s="27"/>
      <c r="K13" s="18"/>
      <c r="L13" s="27"/>
      <c r="N13" s="69"/>
    </row>
    <row r="14" spans="1:14" x14ac:dyDescent="0.35">
      <c r="A14" s="84">
        <f>'Cases Averted'!E14</f>
        <v>29.3</v>
      </c>
      <c r="B14" s="201">
        <f>'Cases Averted'!F14</f>
        <v>2750.9358957526424</v>
      </c>
      <c r="C14" s="80"/>
      <c r="D14" s="80"/>
      <c r="E14" s="68" t="s">
        <v>39</v>
      </c>
      <c r="I14" s="27"/>
      <c r="J14" s="46"/>
      <c r="K14" s="46"/>
      <c r="L14" s="47"/>
      <c r="M14" s="46"/>
      <c r="N14" s="74">
        <f>N5*'Per case assumptions'!$J$40</f>
        <v>3437603.9641370834</v>
      </c>
    </row>
    <row r="15" spans="1:14" ht="15" thickBot="1" x14ac:dyDescent="0.4">
      <c r="A15" s="85">
        <f>'Cases Averted'!E15</f>
        <v>38.4</v>
      </c>
      <c r="B15" s="202">
        <f>'Cases Averted'!F15</f>
        <v>3605.3221295870808</v>
      </c>
      <c r="C15" s="80"/>
      <c r="D15" s="80"/>
      <c r="E15" s="68"/>
      <c r="I15" s="27"/>
      <c r="L15" s="27"/>
      <c r="N15" s="69"/>
    </row>
    <row r="16" spans="1:14" ht="15" thickBot="1" x14ac:dyDescent="0.4">
      <c r="A16" s="101" t="s">
        <v>107</v>
      </c>
      <c r="B16" s="102">
        <v>0</v>
      </c>
      <c r="C16" s="80"/>
      <c r="D16" s="80"/>
      <c r="E16" s="68" t="s">
        <v>40</v>
      </c>
      <c r="I16" s="27"/>
      <c r="J16" s="49">
        <f>J5*'Per case assumptions'!$F$32*'Per case assumptions'!$F$33*'Per case assumptions'!$F$34</f>
        <v>3420.9267815871735</v>
      </c>
      <c r="K16" s="48">
        <f>K5*'Per case assumptions'!$G$32*'Per case assumptions'!$G$33*'Per case assumptions'!$G$34</f>
        <v>900.06527807004284</v>
      </c>
      <c r="L16" s="50">
        <f>L5*'Per case assumptions'!$H$32*'Per case assumptions'!$H$33*'Per case assumptions'!$H$34</f>
        <v>18262.926173544805</v>
      </c>
      <c r="M16" s="49">
        <f>M5*'Per case assumptions'!$I$32*'Per case assumptions'!$I$33*'Per case assumptions'!$I$34</f>
        <v>9034.3198624450379</v>
      </c>
      <c r="N16" s="74"/>
    </row>
    <row r="17" spans="1:34" ht="15" thickBot="1" x14ac:dyDescent="0.4">
      <c r="E17" s="68"/>
      <c r="H17" s="62" t="s">
        <v>68</v>
      </c>
      <c r="I17" s="63"/>
      <c r="J17" s="64">
        <f>J5*'Per case assumptions'!$F$32*'Per case assumptions'!$F$33</f>
        <v>12.48066725792058</v>
      </c>
      <c r="K17" s="64">
        <f>K5*'Per case assumptions'!$G$32*'Per case assumptions'!$G$33</f>
        <v>3.2606213614236994</v>
      </c>
      <c r="L17" s="65">
        <f>L5*'Per case assumptions'!$H$32*'Per case assumptions'!$H$33</f>
        <v>64.486768584783036</v>
      </c>
      <c r="M17" s="64">
        <f>M5*'Per case assumptions'!$I$32*'Per case assumptions'!$I$33</f>
        <v>31.900369565876716</v>
      </c>
      <c r="N17" s="74"/>
    </row>
    <row r="18" spans="1:34" ht="15" customHeight="1" x14ac:dyDescent="0.35">
      <c r="A18" s="272" t="s">
        <v>111</v>
      </c>
      <c r="B18" s="230" t="s">
        <v>27</v>
      </c>
      <c r="C18" s="231" t="s">
        <v>112</v>
      </c>
      <c r="E18" s="68"/>
      <c r="I18" s="27"/>
      <c r="J18" s="49"/>
      <c r="K18" s="49"/>
      <c r="L18" s="50"/>
      <c r="M18" s="49"/>
      <c r="N18" s="74"/>
    </row>
    <row r="19" spans="1:34" x14ac:dyDescent="0.35">
      <c r="A19" s="273"/>
      <c r="B19" s="233"/>
      <c r="C19" s="234"/>
      <c r="E19" s="68" t="s">
        <v>41</v>
      </c>
      <c r="I19" s="27"/>
      <c r="J19" s="51">
        <f>SUM(J12:J16)</f>
        <v>3420.9267815871735</v>
      </c>
      <c r="K19" s="52">
        <f>SUM(K12:K16)</f>
        <v>3135.6937340729742</v>
      </c>
      <c r="L19" s="53">
        <f>SUM(L12:L16)</f>
        <v>612777.52081390796</v>
      </c>
      <c r="M19" s="54">
        <f>SUM(M12:M16)</f>
        <v>13846.606480314138</v>
      </c>
      <c r="N19" s="75">
        <f>N14</f>
        <v>3437603.9641370834</v>
      </c>
    </row>
    <row r="20" spans="1:34" ht="15" customHeight="1" x14ac:dyDescent="0.35">
      <c r="A20" s="84">
        <f>A13</f>
        <v>21.8</v>
      </c>
      <c r="B20" s="203">
        <f>B$5+($B$16*(B13-B$4))</f>
        <v>33.303879734786321</v>
      </c>
      <c r="C20" s="201">
        <f>B20*B$7</f>
        <v>0.35429659292325871</v>
      </c>
      <c r="E20" s="68"/>
      <c r="I20" s="47"/>
      <c r="N20" s="69"/>
    </row>
    <row r="21" spans="1:34" ht="15" thickBot="1" x14ac:dyDescent="0.4">
      <c r="A21" s="84">
        <f>A14</f>
        <v>29.3</v>
      </c>
      <c r="B21" s="203">
        <f>B$5+($B$16*(B14-B$4))</f>
        <v>33.303879734786321</v>
      </c>
      <c r="C21" s="201">
        <f>B21*B$7</f>
        <v>0.35429659292325871</v>
      </c>
      <c r="E21" s="76" t="s">
        <v>42</v>
      </c>
      <c r="F21" s="55"/>
      <c r="G21" s="55"/>
      <c r="H21" s="55"/>
      <c r="I21" s="56">
        <f>SUM(J19:N19)</f>
        <v>4070784.7119469657</v>
      </c>
      <c r="J21" s="55"/>
      <c r="K21" s="55"/>
      <c r="L21" s="55"/>
      <c r="M21" s="55"/>
      <c r="N21" s="77"/>
    </row>
    <row r="22" spans="1:34" ht="16.5" customHeight="1" thickTop="1" thickBot="1" x14ac:dyDescent="0.4">
      <c r="A22" s="85">
        <f>A15</f>
        <v>38.4</v>
      </c>
      <c r="B22" s="204">
        <f>B$5+($B$16*(B15-B$4))</f>
        <v>33.303879734786321</v>
      </c>
      <c r="C22" s="202">
        <f>B22*B$7</f>
        <v>0.35429659292325871</v>
      </c>
      <c r="E22" s="260" t="s">
        <v>36</v>
      </c>
      <c r="F22" s="261"/>
      <c r="G22" s="261"/>
      <c r="H22" s="261"/>
      <c r="I22" s="261"/>
      <c r="J22" s="261"/>
      <c r="K22" s="261"/>
      <c r="L22" s="261"/>
      <c r="M22" s="261"/>
      <c r="N22" s="262"/>
    </row>
    <row r="23" spans="1:34" ht="15" thickBot="1" x14ac:dyDescent="0.4">
      <c r="A23" s="270" t="s">
        <v>106</v>
      </c>
      <c r="B23" s="270"/>
      <c r="C23" s="270"/>
      <c r="E23" s="263"/>
      <c r="F23" s="264"/>
      <c r="G23" s="264"/>
      <c r="H23" s="264"/>
      <c r="I23" s="264"/>
      <c r="J23" s="264"/>
      <c r="K23" s="264"/>
      <c r="L23" s="264"/>
      <c r="M23" s="264"/>
      <c r="N23" s="265"/>
    </row>
    <row r="24" spans="1:34" ht="15" thickBot="1" x14ac:dyDescent="0.4">
      <c r="A24" s="271"/>
      <c r="B24" s="271"/>
      <c r="C24" s="271"/>
      <c r="E24" s="81"/>
      <c r="F24" s="81"/>
      <c r="G24" s="81"/>
      <c r="H24" s="81"/>
      <c r="I24" s="81"/>
      <c r="J24" s="81"/>
      <c r="K24" s="81"/>
      <c r="L24" s="81"/>
      <c r="M24" s="81"/>
      <c r="N24" s="81"/>
    </row>
    <row r="25" spans="1:34" ht="15.75" customHeight="1" thickBot="1" x14ac:dyDescent="0.4">
      <c r="E25" s="241" t="s">
        <v>82</v>
      </c>
      <c r="F25" s="242"/>
      <c r="G25" s="242"/>
      <c r="H25" s="242"/>
      <c r="I25" s="242"/>
      <c r="J25" s="242"/>
      <c r="K25" s="242"/>
      <c r="L25" s="242"/>
      <c r="M25" s="242"/>
      <c r="N25" s="243"/>
      <c r="O25" s="241" t="s">
        <v>84</v>
      </c>
      <c r="P25" s="242"/>
      <c r="Q25" s="242"/>
      <c r="R25" s="242"/>
      <c r="S25" s="242"/>
      <c r="T25" s="242"/>
      <c r="U25" s="242"/>
      <c r="V25" s="242"/>
      <c r="W25" s="242"/>
      <c r="X25" s="243"/>
      <c r="Y25" s="241" t="s">
        <v>85</v>
      </c>
      <c r="Z25" s="242"/>
      <c r="AA25" s="242"/>
      <c r="AB25" s="242"/>
      <c r="AC25" s="242"/>
      <c r="AD25" s="242"/>
      <c r="AE25" s="242"/>
      <c r="AF25" s="242"/>
      <c r="AG25" s="242"/>
      <c r="AH25" s="243"/>
    </row>
    <row r="26" spans="1:34" ht="15" customHeight="1" x14ac:dyDescent="0.35">
      <c r="E26" s="244" t="s">
        <v>29</v>
      </c>
      <c r="F26" s="245"/>
      <c r="G26" s="245"/>
      <c r="H26" s="246"/>
      <c r="I26" s="44"/>
      <c r="J26" s="250" t="s">
        <v>26</v>
      </c>
      <c r="K26" s="251"/>
      <c r="L26" s="45" t="s">
        <v>27</v>
      </c>
      <c r="M26" s="250" t="s">
        <v>28</v>
      </c>
      <c r="N26" s="252"/>
      <c r="O26" s="244" t="s">
        <v>29</v>
      </c>
      <c r="P26" s="245"/>
      <c r="Q26" s="245"/>
      <c r="R26" s="246"/>
      <c r="S26" s="44"/>
      <c r="T26" s="250" t="s">
        <v>26</v>
      </c>
      <c r="U26" s="251"/>
      <c r="V26" s="45" t="s">
        <v>27</v>
      </c>
      <c r="W26" s="250" t="s">
        <v>28</v>
      </c>
      <c r="X26" s="252"/>
      <c r="Y26" s="244" t="s">
        <v>29</v>
      </c>
      <c r="Z26" s="245"/>
      <c r="AA26" s="245"/>
      <c r="AB26" s="246"/>
      <c r="AC26" s="44"/>
      <c r="AD26" s="250" t="s">
        <v>26</v>
      </c>
      <c r="AE26" s="251"/>
      <c r="AF26" s="45" t="s">
        <v>27</v>
      </c>
      <c r="AG26" s="250" t="s">
        <v>28</v>
      </c>
      <c r="AH26" s="252"/>
    </row>
    <row r="27" spans="1:34" ht="45.75" customHeight="1" x14ac:dyDescent="0.35">
      <c r="E27" s="247"/>
      <c r="F27" s="248"/>
      <c r="G27" s="248"/>
      <c r="H27" s="249"/>
      <c r="I27" s="78" t="s">
        <v>81</v>
      </c>
      <c r="J27" s="58" t="s">
        <v>31</v>
      </c>
      <c r="K27" s="59" t="s">
        <v>32</v>
      </c>
      <c r="L27" s="60" t="s">
        <v>27</v>
      </c>
      <c r="M27" s="59" t="s">
        <v>33</v>
      </c>
      <c r="N27" s="61" t="s">
        <v>34</v>
      </c>
      <c r="O27" s="247"/>
      <c r="P27" s="248"/>
      <c r="Q27" s="248"/>
      <c r="R27" s="249"/>
      <c r="S27" s="78" t="s">
        <v>81</v>
      </c>
      <c r="T27" s="58" t="s">
        <v>31</v>
      </c>
      <c r="U27" s="59" t="s">
        <v>32</v>
      </c>
      <c r="V27" s="60" t="s">
        <v>27</v>
      </c>
      <c r="W27" s="59" t="s">
        <v>33</v>
      </c>
      <c r="X27" s="61" t="s">
        <v>34</v>
      </c>
      <c r="Y27" s="247"/>
      <c r="Z27" s="248"/>
      <c r="AA27" s="248"/>
      <c r="AB27" s="249"/>
      <c r="AC27" s="78" t="s">
        <v>81</v>
      </c>
      <c r="AD27" s="58" t="s">
        <v>31</v>
      </c>
      <c r="AE27" s="59" t="s">
        <v>32</v>
      </c>
      <c r="AF27" s="60" t="s">
        <v>27</v>
      </c>
      <c r="AG27" s="59" t="s">
        <v>33</v>
      </c>
      <c r="AH27" s="61" t="s">
        <v>34</v>
      </c>
    </row>
    <row r="28" spans="1:34" ht="15" customHeight="1" x14ac:dyDescent="0.35">
      <c r="E28" s="68" t="s">
        <v>37</v>
      </c>
      <c r="I28" s="25">
        <f>B13</f>
        <v>2046.7714173176657</v>
      </c>
      <c r="J28" s="26"/>
      <c r="L28" s="27"/>
      <c r="M28" s="26"/>
      <c r="N28" s="69"/>
      <c r="O28" s="68" t="s">
        <v>37</v>
      </c>
      <c r="P28"/>
      <c r="Q28"/>
      <c r="R28"/>
      <c r="S28" s="25">
        <f>B14</f>
        <v>2750.9358957526424</v>
      </c>
      <c r="T28" s="26"/>
      <c r="U28"/>
      <c r="V28" s="27"/>
      <c r="W28" s="26"/>
      <c r="X28" s="69"/>
      <c r="Y28" s="68" t="s">
        <v>37</v>
      </c>
      <c r="Z28"/>
      <c r="AA28"/>
      <c r="AB28"/>
      <c r="AC28" s="25">
        <f>B15</f>
        <v>3605.3221295870808</v>
      </c>
      <c r="AD28" s="26"/>
      <c r="AE28"/>
      <c r="AF28" s="27"/>
      <c r="AG28" s="26"/>
      <c r="AH28" s="69"/>
    </row>
    <row r="29" spans="1:34" x14ac:dyDescent="0.35">
      <c r="E29" s="68"/>
      <c r="F29" t="s">
        <v>21</v>
      </c>
      <c r="I29" s="28"/>
      <c r="J29" s="29">
        <f>(I28-L29)*(1-$B$9)</f>
        <v>1865.8803670780544</v>
      </c>
      <c r="K29" s="30">
        <f>(I28-L29)*$B$9</f>
        <v>147.58717050482508</v>
      </c>
      <c r="L29" s="31">
        <f>B20</f>
        <v>33.303879734786321</v>
      </c>
      <c r="M29" s="29">
        <f>L29-N29</f>
        <v>32.949583141863059</v>
      </c>
      <c r="N29" s="70">
        <f>C20</f>
        <v>0.35429659292325871</v>
      </c>
      <c r="O29" s="68"/>
      <c r="P29" t="s">
        <v>21</v>
      </c>
      <c r="Q29"/>
      <c r="R29"/>
      <c r="S29" s="28"/>
      <c r="T29" s="29">
        <f>(S28-V29)*(1-$B$9)</f>
        <v>2518.4295892437472</v>
      </c>
      <c r="U29" s="30">
        <f>(S28-V29)*$B$9</f>
        <v>199.20242677410886</v>
      </c>
      <c r="V29" s="31">
        <f>B21</f>
        <v>33.303879734786321</v>
      </c>
      <c r="W29" s="29">
        <f>V29-X29</f>
        <v>32.949583141863059</v>
      </c>
      <c r="X29" s="70">
        <f>C21</f>
        <v>0.35429659292325871</v>
      </c>
      <c r="Y29" s="68"/>
      <c r="Z29" t="s">
        <v>21</v>
      </c>
      <c r="AA29"/>
      <c r="AB29"/>
      <c r="AC29" s="28"/>
      <c r="AD29" s="29">
        <f>(AC28-AF29)*(1-$B$9)</f>
        <v>3310.1893121381213</v>
      </c>
      <c r="AE29" s="30">
        <f>(AC28-AF29)*$B$9</f>
        <v>261.82893771417321</v>
      </c>
      <c r="AF29" s="31">
        <f>B22</f>
        <v>33.303879734786321</v>
      </c>
      <c r="AG29" s="29">
        <f>AF29-AH29</f>
        <v>32.949583141863059</v>
      </c>
      <c r="AH29" s="70">
        <f>C22</f>
        <v>0.35429659292325871</v>
      </c>
    </row>
    <row r="30" spans="1:34" x14ac:dyDescent="0.35">
      <c r="E30" s="68"/>
      <c r="I30" s="32"/>
      <c r="J30" s="33"/>
      <c r="K30" s="34"/>
      <c r="L30" s="35"/>
      <c r="M30" s="33"/>
      <c r="N30" s="71"/>
      <c r="O30" s="68"/>
      <c r="P30"/>
      <c r="Q30"/>
      <c r="R30"/>
      <c r="S30" s="32"/>
      <c r="T30" s="33"/>
      <c r="U30" s="34"/>
      <c r="V30" s="35"/>
      <c r="W30" s="33"/>
      <c r="X30" s="71"/>
      <c r="Y30" s="68"/>
      <c r="Z30"/>
      <c r="AA30"/>
      <c r="AB30"/>
      <c r="AC30" s="32"/>
      <c r="AD30" s="33"/>
      <c r="AE30" s="34"/>
      <c r="AF30" s="35"/>
      <c r="AG30" s="33"/>
      <c r="AH30" s="71"/>
    </row>
    <row r="31" spans="1:34" x14ac:dyDescent="0.35">
      <c r="E31" s="68" t="s">
        <v>38</v>
      </c>
      <c r="I31" s="26"/>
      <c r="J31" s="36"/>
      <c r="K31" s="37"/>
      <c r="L31" s="38"/>
      <c r="M31" s="36"/>
      <c r="N31" s="72"/>
      <c r="O31" s="68" t="s">
        <v>38</v>
      </c>
      <c r="P31"/>
      <c r="Q31"/>
      <c r="R31"/>
      <c r="S31" s="26"/>
      <c r="T31" s="36"/>
      <c r="U31" s="37"/>
      <c r="V31" s="38"/>
      <c r="W31" s="36"/>
      <c r="X31" s="72"/>
      <c r="Y31" s="68" t="s">
        <v>38</v>
      </c>
      <c r="Z31"/>
      <c r="AA31"/>
      <c r="AB31"/>
      <c r="AC31" s="26"/>
      <c r="AD31" s="36"/>
      <c r="AE31" s="37"/>
      <c r="AF31" s="38"/>
      <c r="AG31" s="36"/>
      <c r="AH31" s="72"/>
    </row>
    <row r="32" spans="1:34" x14ac:dyDescent="0.35">
      <c r="C32" s="187"/>
      <c r="D32" s="187"/>
      <c r="E32" s="68"/>
      <c r="F32" t="s">
        <v>22</v>
      </c>
      <c r="I32" s="26"/>
      <c r="J32" s="26"/>
      <c r="K32" s="40">
        <f>K29*'Per case assumptions'!$G$17*'Per case assumptions'!$G$18</f>
        <v>30177.148753121583</v>
      </c>
      <c r="L32" s="39">
        <f>L29*'Per case assumptions'!$H$17*'Per case assumptions'!$H$18</f>
        <v>3404.8221446858793</v>
      </c>
      <c r="M32" s="39">
        <f>M29*'Per case assumptions'!$I$17*'Per case assumptions'!$I$18</f>
        <v>4812.2866178691002</v>
      </c>
      <c r="N32" s="73"/>
      <c r="O32" s="68"/>
      <c r="P32" t="s">
        <v>22</v>
      </c>
      <c r="Q32"/>
      <c r="R32"/>
      <c r="S32" s="26"/>
      <c r="T32" s="26"/>
      <c r="U32" s="40">
        <f>U29*'Per case assumptions'!$G$17*'Per case assumptions'!$G$18</f>
        <v>40730.920202502042</v>
      </c>
      <c r="V32" s="39">
        <f>V29*'Per case assumptions'!$H$17*'Per case assumptions'!$H$18</f>
        <v>3404.8221446858793</v>
      </c>
      <c r="W32" s="39">
        <f>W29*'Per case assumptions'!$I$17*'Per case assumptions'!$I$18</f>
        <v>4812.2866178691002</v>
      </c>
      <c r="X32" s="73"/>
      <c r="Y32" s="68"/>
      <c r="Z32" t="s">
        <v>22</v>
      </c>
      <c r="AA32"/>
      <c r="AB32"/>
      <c r="AC32" s="26"/>
      <c r="AD32" s="26"/>
      <c r="AE32" s="40">
        <f>AE29*'Per case assumptions'!$G$17*'Per case assumptions'!$G$18</f>
        <v>53536.162894416993</v>
      </c>
      <c r="AF32" s="39">
        <f>AF29*'Per case assumptions'!$H$17*'Per case assumptions'!$H$18</f>
        <v>3404.8221446858793</v>
      </c>
      <c r="AG32" s="39">
        <f>AG29*'Per case assumptions'!$I$17*'Per case assumptions'!$I$18</f>
        <v>4812.2866178691002</v>
      </c>
      <c r="AH32" s="73"/>
    </row>
    <row r="33" spans="3:34" ht="15" customHeight="1" x14ac:dyDescent="0.35">
      <c r="C33" s="188"/>
      <c r="D33" s="188"/>
      <c r="E33" s="68"/>
      <c r="F33" t="s">
        <v>23</v>
      </c>
      <c r="I33" s="26"/>
      <c r="J33" s="41"/>
      <c r="K33" s="40">
        <f>K29*'Per case assumptions'!$G$20*'Per case assumptions'!$G$21</f>
        <v>8455.7762827456427</v>
      </c>
      <c r="L33" s="39">
        <f>L29*'Per case assumptions'!$H$20*'Per case assumptions'!$H$21</f>
        <v>5724.2812248835544</v>
      </c>
      <c r="M33" s="39">
        <f>M29*'Per case assumptions'!$I$20*'Per case assumptions'!$I$21</f>
        <v>0</v>
      </c>
      <c r="N33" s="73"/>
      <c r="O33" s="68"/>
      <c r="P33" t="s">
        <v>23</v>
      </c>
      <c r="Q33"/>
      <c r="R33"/>
      <c r="S33" s="26"/>
      <c r="T33" s="41"/>
      <c r="U33" s="40">
        <f>U29*'Per case assumptions'!$G$20*'Per case assumptions'!$G$21</f>
        <v>11412.991725637943</v>
      </c>
      <c r="V33" s="39">
        <f>V29*'Per case assumptions'!$H$20*'Per case assumptions'!$H$21</f>
        <v>5724.2812248835544</v>
      </c>
      <c r="W33" s="39">
        <f>W29*'Per case assumptions'!$I$20*'Per case assumptions'!$I$21</f>
        <v>0</v>
      </c>
      <c r="X33" s="73"/>
      <c r="Y33" s="68"/>
      <c r="Z33" t="s">
        <v>23</v>
      </c>
      <c r="AA33"/>
      <c r="AB33"/>
      <c r="AC33" s="26"/>
      <c r="AD33" s="41"/>
      <c r="AE33" s="40">
        <f>AE29*'Per case assumptions'!$G$20*'Per case assumptions'!$G$21</f>
        <v>15001.079796347274</v>
      </c>
      <c r="AF33" s="39">
        <f>AF29*'Per case assumptions'!$H$20*'Per case assumptions'!$H$21</f>
        <v>5724.2812248835544</v>
      </c>
      <c r="AG33" s="39">
        <f>AG29*'Per case assumptions'!$I$20*'Per case assumptions'!$I$21</f>
        <v>0</v>
      </c>
      <c r="AH33" s="73"/>
    </row>
    <row r="34" spans="3:34" x14ac:dyDescent="0.35">
      <c r="C34" s="189"/>
      <c r="D34" s="189"/>
      <c r="E34" s="68"/>
      <c r="F34" t="s">
        <v>24</v>
      </c>
      <c r="I34" s="26"/>
      <c r="J34" s="41"/>
      <c r="K34" s="40">
        <f>K29*'Per case assumptions'!$G$23*'Per case assumptions'!$G$24</f>
        <v>35665.768037025518</v>
      </c>
      <c r="L34" s="39">
        <f>L29*'Per case assumptions'!$H$23*'Per case assumptions'!$H$24</f>
        <v>5365.4548485524856</v>
      </c>
      <c r="M34" s="39">
        <f>M29*'Per case assumptions'!$I$23*'Per case assumptions'!$I$24</f>
        <v>0</v>
      </c>
      <c r="N34" s="73"/>
      <c r="O34" s="68"/>
      <c r="P34" t="s">
        <v>24</v>
      </c>
      <c r="Q34"/>
      <c r="R34"/>
      <c r="S34" s="26"/>
      <c r="T34" s="41"/>
      <c r="U34" s="40">
        <f>U29*'Per case assumptions'!$G$23*'Per case assumptions'!$G$24</f>
        <v>48139.05925180437</v>
      </c>
      <c r="V34" s="39">
        <f>V29*'Per case assumptions'!$H$23*'Per case assumptions'!$H$24</f>
        <v>5365.4548485524856</v>
      </c>
      <c r="W34" s="39">
        <f>W29*'Per case assumptions'!$I$23*'Per case assumptions'!$I$24</f>
        <v>0</v>
      </c>
      <c r="X34" s="73"/>
      <c r="Y34" s="68"/>
      <c r="Z34" t="s">
        <v>24</v>
      </c>
      <c r="AA34"/>
      <c r="AB34"/>
      <c r="AC34" s="26"/>
      <c r="AD34" s="41"/>
      <c r="AE34" s="40">
        <f>AE29*'Per case assumptions'!$G$23*'Per case assumptions'!$G$24</f>
        <v>63273.31925906938</v>
      </c>
      <c r="AF34" s="39">
        <f>AF29*'Per case assumptions'!$H$23*'Per case assumptions'!$H$24</f>
        <v>5365.4548485524856</v>
      </c>
      <c r="AG34" s="39">
        <f>AG29*'Per case assumptions'!$I$23*'Per case assumptions'!$I$24</f>
        <v>0</v>
      </c>
      <c r="AH34" s="73"/>
    </row>
    <row r="35" spans="3:34" x14ac:dyDescent="0.35">
      <c r="E35" s="68"/>
      <c r="F35" t="s">
        <v>12</v>
      </c>
      <c r="I35" s="26"/>
      <c r="J35" s="26"/>
      <c r="K35" s="66">
        <f>K29*'Per case assumptions'!$G$26*'Per case assumptions'!$G$27</f>
        <v>0</v>
      </c>
      <c r="L35" s="67">
        <f>L29*'Per case assumptions'!$H$26*'Per case assumptions'!$H$27</f>
        <v>580020.03642224125</v>
      </c>
      <c r="M35" s="67">
        <f>M29*'Per case assumptions'!$I$26*'Per case assumptions'!$I$27</f>
        <v>0</v>
      </c>
      <c r="N35" s="73"/>
      <c r="O35" s="68"/>
      <c r="P35" t="s">
        <v>12</v>
      </c>
      <c r="Q35"/>
      <c r="R35"/>
      <c r="S35" s="26"/>
      <c r="T35" s="26"/>
      <c r="U35" s="66">
        <f>U29*'Per case assumptions'!$G$26*'Per case assumptions'!$G$27</f>
        <v>0</v>
      </c>
      <c r="V35" s="67">
        <f>V29*'Per case assumptions'!$H$26*'Per case assumptions'!$H$27</f>
        <v>580020.03642224125</v>
      </c>
      <c r="W35" s="67">
        <f>W29*'Per case assumptions'!$I$26*'Per case assumptions'!$I$27</f>
        <v>0</v>
      </c>
      <c r="X35" s="73"/>
      <c r="Y35" s="68"/>
      <c r="Z35" t="s">
        <v>12</v>
      </c>
      <c r="AA35"/>
      <c r="AB35"/>
      <c r="AC35" s="26"/>
      <c r="AD35" s="26"/>
      <c r="AE35" s="66">
        <f>AE29*'Per case assumptions'!$G$26*'Per case assumptions'!$G$27</f>
        <v>0</v>
      </c>
      <c r="AF35" s="67">
        <f>AF29*'Per case assumptions'!$H$26*'Per case assumptions'!$H$27</f>
        <v>580020.03642224125</v>
      </c>
      <c r="AG35" s="67">
        <f>AG29*'Per case assumptions'!$I$26*'Per case assumptions'!$I$27</f>
        <v>0</v>
      </c>
      <c r="AH35" s="73"/>
    </row>
    <row r="36" spans="3:34" x14ac:dyDescent="0.35">
      <c r="E36" s="68"/>
      <c r="F36" s="17" t="s">
        <v>25</v>
      </c>
      <c r="I36" s="26"/>
      <c r="J36" s="26"/>
      <c r="K36" s="42">
        <f>SUM(K32:K35)</f>
        <v>74298.693072892755</v>
      </c>
      <c r="L36" s="43">
        <f>SUM(L32:L35)</f>
        <v>594514.59464036312</v>
      </c>
      <c r="M36" s="42">
        <f>SUM(M32:M35)</f>
        <v>4812.2866178691002</v>
      </c>
      <c r="N36" s="69"/>
      <c r="O36" s="68"/>
      <c r="P36" s="17" t="s">
        <v>25</v>
      </c>
      <c r="Q36"/>
      <c r="R36"/>
      <c r="S36" s="26"/>
      <c r="T36" s="26"/>
      <c r="U36" s="42">
        <f>SUM(U32:U35)</f>
        <v>100282.97117994435</v>
      </c>
      <c r="V36" s="43">
        <f>SUM(V32:V35)</f>
        <v>594514.59464036312</v>
      </c>
      <c r="W36" s="42">
        <f>SUM(W32:W35)</f>
        <v>4812.2866178691002</v>
      </c>
      <c r="X36" s="69"/>
      <c r="Y36" s="68"/>
      <c r="Z36" s="17" t="s">
        <v>25</v>
      </c>
      <c r="AA36"/>
      <c r="AB36"/>
      <c r="AC36" s="26"/>
      <c r="AD36" s="26"/>
      <c r="AE36" s="42">
        <f>SUM(AE32:AE35)</f>
        <v>131810.56194983365</v>
      </c>
      <c r="AF36" s="43">
        <f>SUM(AF32:AF35)</f>
        <v>594514.59464036312</v>
      </c>
      <c r="AG36" s="42">
        <f>SUM(AG32:AG35)</f>
        <v>4812.2866178691002</v>
      </c>
      <c r="AH36" s="69"/>
    </row>
    <row r="37" spans="3:34" x14ac:dyDescent="0.35">
      <c r="E37" s="5"/>
      <c r="I37" s="27"/>
      <c r="K37" s="18"/>
      <c r="L37" s="27"/>
      <c r="N37" s="69"/>
      <c r="O37" s="5"/>
      <c r="P37"/>
      <c r="Q37"/>
      <c r="R37"/>
      <c r="S37" s="27"/>
      <c r="T37"/>
      <c r="U37" s="18"/>
      <c r="V37" s="27"/>
      <c r="W37"/>
      <c r="X37" s="69"/>
      <c r="Y37" s="5"/>
      <c r="Z37"/>
      <c r="AA37"/>
      <c r="AB37"/>
      <c r="AC37" s="27"/>
      <c r="AD37"/>
      <c r="AE37" s="18"/>
      <c r="AF37" s="27"/>
      <c r="AG37"/>
      <c r="AH37" s="69"/>
    </row>
    <row r="38" spans="3:34" x14ac:dyDescent="0.35">
      <c r="E38" s="68" t="s">
        <v>39</v>
      </c>
      <c r="I38" s="27"/>
      <c r="J38" s="46"/>
      <c r="K38" s="46"/>
      <c r="L38" s="47"/>
      <c r="M38" s="46"/>
      <c r="N38" s="74">
        <f>N29*'Per case assumptions'!$J$40</f>
        <v>3437603.9641370834</v>
      </c>
      <c r="O38" s="68" t="s">
        <v>39</v>
      </c>
      <c r="P38"/>
      <c r="Q38"/>
      <c r="R38"/>
      <c r="S38" s="27"/>
      <c r="T38" s="46"/>
      <c r="U38" s="46"/>
      <c r="V38" s="47"/>
      <c r="W38" s="46"/>
      <c r="X38" s="74">
        <f>X29*'Per case assumptions'!$J$40</f>
        <v>3437603.9641370834</v>
      </c>
      <c r="Y38" s="68" t="s">
        <v>39</v>
      </c>
      <c r="Z38"/>
      <c r="AA38"/>
      <c r="AB38"/>
      <c r="AC38" s="27"/>
      <c r="AD38" s="46"/>
      <c r="AE38" s="46"/>
      <c r="AF38" s="47"/>
      <c r="AG38" s="46"/>
      <c r="AH38" s="74">
        <f>AH29*'Per case assumptions'!$J$40</f>
        <v>3437603.9641370834</v>
      </c>
    </row>
    <row r="39" spans="3:34" x14ac:dyDescent="0.35">
      <c r="E39" s="68"/>
      <c r="I39" s="27"/>
      <c r="L39" s="27"/>
      <c r="N39" s="69"/>
      <c r="O39" s="68"/>
      <c r="P39"/>
      <c r="Q39"/>
      <c r="R39"/>
      <c r="S39" s="27"/>
      <c r="T39"/>
      <c r="U39"/>
      <c r="V39" s="27"/>
      <c r="W39"/>
      <c r="X39" s="69"/>
      <c r="Y39" s="68"/>
      <c r="Z39"/>
      <c r="AA39"/>
      <c r="AB39"/>
      <c r="AC39" s="27"/>
      <c r="AD39"/>
      <c r="AE39"/>
      <c r="AF39" s="27"/>
      <c r="AG39"/>
      <c r="AH39" s="69"/>
    </row>
    <row r="40" spans="3:34" x14ac:dyDescent="0.35">
      <c r="E40" s="68" t="s">
        <v>40</v>
      </c>
      <c r="I40" s="27"/>
      <c r="J40" s="49">
        <f>J29*'Per case assumptions'!$F$32*'Per case assumptions'!$F$33*'Per case assumptions'!$F$34</f>
        <v>113690.8005833913</v>
      </c>
      <c r="K40" s="48">
        <f>K29*'Per case assumptions'!$G$32*'Per case assumptions'!$G$33*'Per case assumptions'!$G$34</f>
        <v>29912.695761824867</v>
      </c>
      <c r="L40" s="50">
        <f>L29*'Per case assumptions'!$H$32*'Per case assumptions'!$H$33*'Per case assumptions'!$H$34</f>
        <v>18262.926173544805</v>
      </c>
      <c r="M40" s="49">
        <f>M29*'Per case assumptions'!$I$32*'Per case assumptions'!$I$33*'Per case assumptions'!$I$34</f>
        <v>9034.3198624450379</v>
      </c>
      <c r="N40" s="74"/>
      <c r="O40" s="68" t="s">
        <v>40</v>
      </c>
      <c r="P40"/>
      <c r="Q40"/>
      <c r="R40"/>
      <c r="S40" s="27"/>
      <c r="T40" s="49">
        <f>T29*'Per case assumptions'!$F$32*'Per case assumptions'!$F$33*'Per case assumptions'!$F$34</f>
        <v>153451.57238692642</v>
      </c>
      <c r="U40" s="48">
        <f>U29*'Per case assumptions'!$G$32*'Per case assumptions'!$G$33*'Per case assumptions'!$G$34</f>
        <v>40373.980792024915</v>
      </c>
      <c r="V40" s="50">
        <f>V29*'Per case assumptions'!$H$32*'Per case assumptions'!$H$33*'Per case assumptions'!$H$34</f>
        <v>18262.926173544805</v>
      </c>
      <c r="W40" s="49">
        <f>W29*'Per case assumptions'!$I$32*'Per case assumptions'!$I$33*'Per case assumptions'!$I$34</f>
        <v>9034.3198624450379</v>
      </c>
      <c r="X40" s="74"/>
      <c r="Y40" s="68" t="s">
        <v>40</v>
      </c>
      <c r="Z40"/>
      <c r="AA40"/>
      <c r="AB40"/>
      <c r="AC40" s="27"/>
      <c r="AD40" s="49">
        <f>AD29*'Per case assumptions'!$F$32*'Per case assumptions'!$F$33*'Per case assumptions'!$F$34</f>
        <v>201694.64217521573</v>
      </c>
      <c r="AE40" s="48">
        <f>AE29*'Per case assumptions'!$G$32*'Per case assumptions'!$G$33*'Per case assumptions'!$G$34</f>
        <v>53067.006628667667</v>
      </c>
      <c r="AF40" s="50">
        <f>AF29*'Per case assumptions'!$H$32*'Per case assumptions'!$H$33*'Per case assumptions'!$H$34</f>
        <v>18262.926173544805</v>
      </c>
      <c r="AG40" s="49">
        <f>AG29*'Per case assumptions'!$I$32*'Per case assumptions'!$I$33*'Per case assumptions'!$I$34</f>
        <v>9034.3198624450379</v>
      </c>
      <c r="AH40" s="74"/>
    </row>
    <row r="41" spans="3:34" x14ac:dyDescent="0.35">
      <c r="E41" s="68"/>
      <c r="H41" s="62" t="s">
        <v>68</v>
      </c>
      <c r="I41" s="63"/>
      <c r="J41" s="64">
        <f>J29*'Per case assumptions'!$F$32*'Per case assumptions'!$F$33</f>
        <v>414.78147384071735</v>
      </c>
      <c r="K41" s="64">
        <f>K29*'Per case assumptions'!$G$32*'Per case assumptions'!$G$33</f>
        <v>108.36322337409872</v>
      </c>
      <c r="L41" s="65">
        <f>L29*'Per case assumptions'!$H$32*'Per case assumptions'!$H$33</f>
        <v>64.486768584783036</v>
      </c>
      <c r="M41" s="64">
        <f>M29*'Per case assumptions'!$I$32*'Per case assumptions'!$I$33</f>
        <v>31.900369565876716</v>
      </c>
      <c r="N41" s="74"/>
      <c r="O41" s="68"/>
      <c r="P41"/>
      <c r="Q41"/>
      <c r="R41" s="62" t="s">
        <v>68</v>
      </c>
      <c r="S41" s="63"/>
      <c r="T41" s="64">
        <f>T29*'Per case assumptions'!$F$32*'Per case assumptions'!$F$33</f>
        <v>559.84186082970655</v>
      </c>
      <c r="U41" s="64">
        <f>U29*'Per case assumptions'!$G$32*'Per case assumptions'!$G$33</f>
        <v>146.26079621520748</v>
      </c>
      <c r="V41" s="65">
        <f>V29*'Per case assumptions'!$H$32*'Per case assumptions'!$H$33</f>
        <v>64.486768584783036</v>
      </c>
      <c r="W41" s="64">
        <f>W29*'Per case assumptions'!$I$32*'Per case assumptions'!$I$33</f>
        <v>31.900369565876716</v>
      </c>
      <c r="X41" s="74"/>
      <c r="Y41" s="68"/>
      <c r="Z41"/>
      <c r="AA41"/>
      <c r="AB41" s="62" t="s">
        <v>68</v>
      </c>
      <c r="AC41" s="63"/>
      <c r="AD41" s="64">
        <f>AD29*'Per case assumptions'!$F$32*'Per case assumptions'!$F$33</f>
        <v>735.84846370968012</v>
      </c>
      <c r="AE41" s="64">
        <f>AE29*'Per case assumptions'!$G$32*'Per case assumptions'!$G$33</f>
        <v>192.24318459575284</v>
      </c>
      <c r="AF41" s="65">
        <f>AF29*'Per case assumptions'!$H$32*'Per case assumptions'!$H$33</f>
        <v>64.486768584783036</v>
      </c>
      <c r="AG41" s="64">
        <f>AG29*'Per case assumptions'!$I$32*'Per case assumptions'!$I$33</f>
        <v>31.900369565876716</v>
      </c>
      <c r="AH41" s="74"/>
    </row>
    <row r="42" spans="3:34" x14ac:dyDescent="0.35">
      <c r="E42" s="68"/>
      <c r="I42" s="27"/>
      <c r="J42" s="49"/>
      <c r="K42" s="49"/>
      <c r="L42" s="50"/>
      <c r="M42" s="49"/>
      <c r="N42" s="74"/>
      <c r="O42" s="68"/>
      <c r="P42"/>
      <c r="Q42"/>
      <c r="R42"/>
      <c r="S42" s="27"/>
      <c r="T42" s="49"/>
      <c r="U42" s="49"/>
      <c r="V42" s="50"/>
      <c r="W42" s="49"/>
      <c r="X42" s="74"/>
      <c r="Y42" s="68"/>
      <c r="Z42"/>
      <c r="AA42"/>
      <c r="AB42"/>
      <c r="AC42" s="27"/>
      <c r="AD42" s="49"/>
      <c r="AE42" s="49"/>
      <c r="AF42" s="50"/>
      <c r="AG42" s="49"/>
      <c r="AH42" s="74"/>
    </row>
    <row r="43" spans="3:34" x14ac:dyDescent="0.35">
      <c r="E43" s="68" t="s">
        <v>41</v>
      </c>
      <c r="I43" s="27"/>
      <c r="J43" s="51">
        <f>SUM(J36:J40)</f>
        <v>113690.8005833913</v>
      </c>
      <c r="K43" s="52">
        <f>SUM(K36:K40)</f>
        <v>104211.38883471763</v>
      </c>
      <c r="L43" s="53">
        <f>SUM(L36:L40)</f>
        <v>612777.52081390796</v>
      </c>
      <c r="M43" s="54">
        <f>SUM(M36:M40)</f>
        <v>13846.606480314138</v>
      </c>
      <c r="N43" s="75">
        <f>N38</f>
        <v>3437603.9641370834</v>
      </c>
      <c r="O43" s="68" t="s">
        <v>41</v>
      </c>
      <c r="P43"/>
      <c r="Q43"/>
      <c r="R43"/>
      <c r="S43" s="27"/>
      <c r="T43" s="51">
        <f>SUM(T36:T40)</f>
        <v>153451.57238692642</v>
      </c>
      <c r="U43" s="52">
        <f>SUM(U36:U40)</f>
        <v>140656.95197196928</v>
      </c>
      <c r="V43" s="53">
        <f>SUM(V36:V40)</f>
        <v>612777.52081390796</v>
      </c>
      <c r="W43" s="54">
        <f>SUM(W36:W40)</f>
        <v>13846.606480314138</v>
      </c>
      <c r="X43" s="75">
        <f>X38</f>
        <v>3437603.9641370834</v>
      </c>
      <c r="Y43" s="68" t="s">
        <v>41</v>
      </c>
      <c r="Z43"/>
      <c r="AA43"/>
      <c r="AB43"/>
      <c r="AC43" s="27"/>
      <c r="AD43" s="51">
        <f>SUM(AD36:AD40)</f>
        <v>201694.64217521573</v>
      </c>
      <c r="AE43" s="52">
        <f>SUM(AE36:AE40)</f>
        <v>184877.56857850132</v>
      </c>
      <c r="AF43" s="53">
        <f>SUM(AF36:AF40)</f>
        <v>612777.52081390796</v>
      </c>
      <c r="AG43" s="54">
        <f>SUM(AG36:AG40)</f>
        <v>13846.606480314138</v>
      </c>
      <c r="AH43" s="75">
        <f>AH38</f>
        <v>3437603.9641370834</v>
      </c>
    </row>
    <row r="44" spans="3:34" x14ac:dyDescent="0.35">
      <c r="E44" s="68"/>
      <c r="I44" s="47"/>
      <c r="N44" s="69"/>
      <c r="O44" s="68"/>
      <c r="P44"/>
      <c r="Q44"/>
      <c r="R44"/>
      <c r="S44" s="47"/>
      <c r="T44"/>
      <c r="U44"/>
      <c r="V44"/>
      <c r="W44"/>
      <c r="X44" s="69"/>
      <c r="Y44" s="68"/>
      <c r="Z44"/>
      <c r="AA44"/>
      <c r="AB44"/>
      <c r="AC44" s="47"/>
      <c r="AD44"/>
      <c r="AE44"/>
      <c r="AF44"/>
      <c r="AG44"/>
      <c r="AH44" s="69"/>
    </row>
    <row r="45" spans="3:34" ht="15" thickBot="1" x14ac:dyDescent="0.4">
      <c r="E45" s="76" t="s">
        <v>42</v>
      </c>
      <c r="F45" s="55"/>
      <c r="G45" s="55"/>
      <c r="H45" s="55"/>
      <c r="I45" s="56">
        <f>SUM(J43:N43)</f>
        <v>4282130.2808494139</v>
      </c>
      <c r="J45" s="55"/>
      <c r="K45" s="55"/>
      <c r="L45" s="55"/>
      <c r="M45" s="55"/>
      <c r="N45" s="77"/>
      <c r="O45" s="76" t="s">
        <v>42</v>
      </c>
      <c r="P45" s="55"/>
      <c r="Q45" s="55"/>
      <c r="R45" s="55"/>
      <c r="S45" s="56">
        <f>SUM(T43:X43)</f>
        <v>4358336.6157902014</v>
      </c>
      <c r="T45" s="55"/>
      <c r="U45" s="55"/>
      <c r="V45" s="55"/>
      <c r="W45" s="55"/>
      <c r="X45" s="77"/>
      <c r="Y45" s="76" t="s">
        <v>42</v>
      </c>
      <c r="Z45" s="55"/>
      <c r="AA45" s="55"/>
      <c r="AB45" s="55"/>
      <c r="AC45" s="56">
        <f>SUM(AD43:AH43)</f>
        <v>4450800.3021850223</v>
      </c>
      <c r="AD45" s="55"/>
      <c r="AE45" s="55"/>
      <c r="AF45" s="55"/>
      <c r="AG45" s="55"/>
      <c r="AH45" s="77"/>
    </row>
    <row r="46" spans="3:34" ht="15.75" customHeight="1" thickTop="1" x14ac:dyDescent="0.35">
      <c r="E46" s="260" t="s">
        <v>36</v>
      </c>
      <c r="F46" s="261"/>
      <c r="G46" s="261"/>
      <c r="H46" s="261"/>
      <c r="I46" s="261"/>
      <c r="J46" s="261"/>
      <c r="K46" s="261"/>
      <c r="L46" s="261"/>
      <c r="M46" s="261"/>
      <c r="N46" s="262"/>
      <c r="O46" s="260" t="s">
        <v>36</v>
      </c>
      <c r="P46" s="261"/>
      <c r="Q46" s="261"/>
      <c r="R46" s="261"/>
      <c r="S46" s="261"/>
      <c r="T46" s="261"/>
      <c r="U46" s="261"/>
      <c r="V46" s="261"/>
      <c r="W46" s="261"/>
      <c r="X46" s="262"/>
      <c r="Y46" s="260" t="s">
        <v>36</v>
      </c>
      <c r="Z46" s="261"/>
      <c r="AA46" s="261"/>
      <c r="AB46" s="261"/>
      <c r="AC46" s="261"/>
      <c r="AD46" s="261"/>
      <c r="AE46" s="261"/>
      <c r="AF46" s="261"/>
      <c r="AG46" s="261"/>
      <c r="AH46" s="262"/>
    </row>
    <row r="47" spans="3:34" ht="15" thickBot="1" x14ac:dyDescent="0.4">
      <c r="E47" s="263"/>
      <c r="F47" s="264"/>
      <c r="G47" s="264"/>
      <c r="H47" s="264"/>
      <c r="I47" s="264"/>
      <c r="J47" s="264"/>
      <c r="K47" s="264"/>
      <c r="L47" s="264"/>
      <c r="M47" s="264"/>
      <c r="N47" s="265"/>
      <c r="O47" s="263"/>
      <c r="P47" s="264"/>
      <c r="Q47" s="264"/>
      <c r="R47" s="264"/>
      <c r="S47" s="264"/>
      <c r="T47" s="264"/>
      <c r="U47" s="264"/>
      <c r="V47" s="264"/>
      <c r="W47" s="264"/>
      <c r="X47" s="265"/>
      <c r="Y47" s="263"/>
      <c r="Z47" s="264"/>
      <c r="AA47" s="264"/>
      <c r="AB47" s="264"/>
      <c r="AC47" s="264"/>
      <c r="AD47" s="264"/>
      <c r="AE47" s="264"/>
      <c r="AF47" s="264"/>
      <c r="AG47" s="264"/>
      <c r="AH47" s="265"/>
    </row>
    <row r="48" spans="3:34" x14ac:dyDescent="0.35">
      <c r="E48" s="81"/>
      <c r="F48" s="81"/>
      <c r="G48" s="81"/>
      <c r="H48" s="81"/>
      <c r="I48" s="81"/>
      <c r="J48" s="81"/>
      <c r="K48" s="81"/>
      <c r="L48" s="81"/>
      <c r="M48" s="81"/>
      <c r="N48" s="81"/>
    </row>
    <row r="49" spans="5:14" x14ac:dyDescent="0.35">
      <c r="E49" s="81"/>
      <c r="F49" s="81"/>
      <c r="G49" s="81"/>
      <c r="H49" s="81"/>
      <c r="I49" s="81"/>
      <c r="J49" s="81"/>
      <c r="K49" s="81"/>
      <c r="L49" s="81"/>
      <c r="M49" s="81"/>
      <c r="N49" s="81"/>
    </row>
    <row r="50" spans="5:14" x14ac:dyDescent="0.35">
      <c r="E50" s="81"/>
      <c r="F50" s="81"/>
      <c r="G50" s="81"/>
      <c r="H50" s="81"/>
      <c r="I50" s="81"/>
      <c r="J50" s="81"/>
      <c r="K50" s="81"/>
      <c r="L50" s="81"/>
      <c r="M50" s="81"/>
      <c r="N50" s="81"/>
    </row>
    <row r="51" spans="5:14" x14ac:dyDescent="0.35">
      <c r="E51" s="81"/>
      <c r="F51" s="81"/>
      <c r="G51" s="81"/>
      <c r="H51" s="81"/>
      <c r="I51" s="81"/>
      <c r="J51" s="81"/>
      <c r="K51" s="81"/>
      <c r="L51" s="81"/>
      <c r="M51" s="81"/>
      <c r="N51" s="81"/>
    </row>
    <row r="52" spans="5:14" x14ac:dyDescent="0.35">
      <c r="E52" s="81"/>
      <c r="F52" s="81"/>
      <c r="G52" s="81"/>
      <c r="H52" s="81"/>
      <c r="I52" s="81"/>
      <c r="J52" s="81"/>
      <c r="K52" s="81"/>
      <c r="L52" s="81"/>
      <c r="M52" s="81"/>
      <c r="N52" s="81"/>
    </row>
    <row r="53" spans="5:14" x14ac:dyDescent="0.35">
      <c r="E53" s="81"/>
      <c r="F53" s="81"/>
      <c r="G53" s="81"/>
      <c r="H53" s="81"/>
      <c r="I53" s="81"/>
      <c r="J53" s="81"/>
      <c r="K53" s="81"/>
      <c r="L53" s="81"/>
      <c r="M53" s="81"/>
      <c r="N53" s="81"/>
    </row>
    <row r="54" spans="5:14" x14ac:dyDescent="0.35">
      <c r="E54" s="81"/>
      <c r="F54" s="81"/>
      <c r="G54" s="81"/>
      <c r="H54" s="81"/>
      <c r="I54" s="81"/>
      <c r="J54" s="81"/>
      <c r="K54" s="81"/>
      <c r="L54" s="81"/>
      <c r="M54" s="81"/>
      <c r="N54" s="81"/>
    </row>
    <row r="55" spans="5:14" x14ac:dyDescent="0.35">
      <c r="E55" s="81"/>
      <c r="F55" s="81"/>
      <c r="G55" s="81"/>
      <c r="H55" s="81"/>
      <c r="I55" s="81"/>
      <c r="J55" s="81"/>
      <c r="K55" s="81"/>
      <c r="L55" s="81"/>
      <c r="M55" s="81"/>
      <c r="N55" s="81"/>
    </row>
    <row r="56" spans="5:14" x14ac:dyDescent="0.35">
      <c r="E56" s="81"/>
      <c r="F56" s="81"/>
      <c r="G56" s="81"/>
      <c r="H56" s="81"/>
      <c r="I56" s="81"/>
      <c r="J56" s="81"/>
      <c r="K56" s="81"/>
      <c r="L56" s="81"/>
      <c r="M56" s="81"/>
      <c r="N56" s="81"/>
    </row>
    <row r="57" spans="5:14" x14ac:dyDescent="0.35">
      <c r="E57" s="81"/>
      <c r="F57" s="81"/>
      <c r="G57" s="81"/>
      <c r="H57" s="81"/>
      <c r="I57" s="81"/>
      <c r="J57" s="81"/>
      <c r="K57" s="81"/>
      <c r="L57" s="81"/>
      <c r="M57" s="81"/>
      <c r="N57" s="81"/>
    </row>
    <row r="58" spans="5:14" x14ac:dyDescent="0.35">
      <c r="E58" s="81"/>
      <c r="F58" s="81"/>
      <c r="G58" s="81"/>
      <c r="H58" s="81"/>
      <c r="I58" s="81"/>
      <c r="J58" s="81"/>
      <c r="K58" s="81"/>
      <c r="L58" s="81"/>
      <c r="M58" s="81"/>
      <c r="N58" s="81"/>
    </row>
    <row r="59" spans="5:14" x14ac:dyDescent="0.35">
      <c r="E59" s="81"/>
      <c r="F59" s="81"/>
      <c r="G59" s="81"/>
      <c r="H59" s="81"/>
      <c r="I59" s="81"/>
      <c r="J59" s="81"/>
      <c r="K59" s="81"/>
      <c r="L59" s="81"/>
      <c r="M59" s="81"/>
      <c r="N59" s="81"/>
    </row>
    <row r="60" spans="5:14" x14ac:dyDescent="0.35">
      <c r="E60" s="81"/>
      <c r="F60" s="81"/>
      <c r="G60" s="81"/>
      <c r="H60" s="81"/>
      <c r="I60" s="81"/>
      <c r="J60" s="81"/>
      <c r="K60" s="81"/>
      <c r="L60" s="81"/>
      <c r="M60" s="81"/>
      <c r="N60" s="81"/>
    </row>
    <row r="61" spans="5:14" x14ac:dyDescent="0.35">
      <c r="E61" s="81"/>
      <c r="F61" s="81"/>
      <c r="G61" s="81"/>
      <c r="H61" s="81"/>
      <c r="I61" s="81"/>
      <c r="J61" s="81"/>
      <c r="K61" s="81"/>
      <c r="L61" s="81"/>
      <c r="M61" s="81"/>
      <c r="N61" s="81"/>
    </row>
    <row r="62" spans="5:14" x14ac:dyDescent="0.35">
      <c r="E62" s="81"/>
      <c r="F62" s="81"/>
      <c r="G62" s="81"/>
      <c r="H62" s="81"/>
      <c r="I62" s="81"/>
      <c r="J62" s="81"/>
      <c r="K62" s="81"/>
      <c r="L62" s="81"/>
      <c r="M62" s="81"/>
      <c r="N62" s="81"/>
    </row>
    <row r="63" spans="5:14" x14ac:dyDescent="0.35">
      <c r="E63" s="81"/>
      <c r="F63" s="81"/>
      <c r="G63" s="81"/>
      <c r="H63" s="81"/>
      <c r="I63" s="81"/>
      <c r="J63" s="81"/>
      <c r="K63" s="81"/>
      <c r="L63" s="81"/>
      <c r="M63" s="81"/>
      <c r="N63" s="81"/>
    </row>
    <row r="64" spans="5:14" x14ac:dyDescent="0.35">
      <c r="E64" s="81"/>
      <c r="F64" s="81"/>
      <c r="G64" s="81"/>
      <c r="H64" s="81"/>
      <c r="I64" s="81"/>
      <c r="J64" s="81"/>
      <c r="K64" s="81"/>
      <c r="L64" s="81"/>
      <c r="M64" s="81"/>
      <c r="N64" s="81"/>
    </row>
    <row r="65" spans="5:14" x14ac:dyDescent="0.35">
      <c r="E65" s="81"/>
      <c r="F65" s="81"/>
      <c r="G65" s="81"/>
      <c r="H65" s="81"/>
      <c r="I65" s="81"/>
      <c r="J65" s="81"/>
      <c r="K65" s="81"/>
      <c r="L65" s="81"/>
      <c r="M65" s="81"/>
      <c r="N65" s="81"/>
    </row>
    <row r="66" spans="5:14" x14ac:dyDescent="0.35">
      <c r="E66" s="81"/>
      <c r="F66" s="81"/>
      <c r="G66" s="81"/>
      <c r="H66" s="81"/>
      <c r="I66" s="81"/>
      <c r="J66" s="81"/>
      <c r="K66" s="81"/>
      <c r="L66" s="81"/>
      <c r="M66" s="81"/>
      <c r="N66" s="81"/>
    </row>
    <row r="67" spans="5:14" x14ac:dyDescent="0.35">
      <c r="E67" s="81"/>
      <c r="F67" s="81"/>
      <c r="G67" s="81"/>
      <c r="H67" s="81"/>
      <c r="I67" s="81"/>
      <c r="J67" s="81"/>
      <c r="K67" s="81"/>
      <c r="L67" s="81"/>
      <c r="M67" s="81"/>
      <c r="N67" s="81"/>
    </row>
    <row r="68" spans="5:14" x14ac:dyDescent="0.35">
      <c r="E68" s="81"/>
      <c r="F68" s="81"/>
      <c r="G68" s="81"/>
      <c r="H68" s="81"/>
      <c r="I68" s="81"/>
      <c r="J68" s="81"/>
      <c r="K68" s="81"/>
      <c r="L68" s="81"/>
      <c r="M68" s="81"/>
      <c r="N68" s="81"/>
    </row>
    <row r="69" spans="5:14" x14ac:dyDescent="0.35">
      <c r="E69" s="81"/>
      <c r="F69" s="81"/>
      <c r="G69" s="81"/>
      <c r="H69" s="81"/>
      <c r="I69" s="81"/>
      <c r="J69" s="81"/>
      <c r="K69" s="81"/>
      <c r="L69" s="81"/>
      <c r="M69" s="81"/>
      <c r="N69" s="81"/>
    </row>
    <row r="70" spans="5:14" x14ac:dyDescent="0.35">
      <c r="E70" s="81"/>
      <c r="F70" s="81"/>
      <c r="G70" s="81"/>
      <c r="H70" s="81"/>
      <c r="I70" s="81"/>
      <c r="J70" s="81"/>
      <c r="K70" s="81"/>
      <c r="L70" s="81"/>
      <c r="M70" s="81"/>
      <c r="N70" s="81"/>
    </row>
    <row r="71" spans="5:14" x14ac:dyDescent="0.35">
      <c r="E71" s="81"/>
      <c r="F71" s="81"/>
      <c r="G71" s="81"/>
      <c r="H71" s="81"/>
      <c r="I71" s="81"/>
      <c r="J71" s="81"/>
      <c r="K71" s="81"/>
      <c r="L71" s="81"/>
      <c r="M71" s="81"/>
      <c r="N71" s="81"/>
    </row>
    <row r="72" spans="5:14" x14ac:dyDescent="0.35">
      <c r="E72" s="81"/>
      <c r="F72" s="81"/>
      <c r="G72" s="81"/>
      <c r="H72" s="81"/>
      <c r="I72" s="81"/>
      <c r="J72" s="81"/>
      <c r="K72" s="81"/>
      <c r="L72" s="81"/>
      <c r="M72" s="81"/>
      <c r="N72" s="81"/>
    </row>
    <row r="73" spans="5:14" x14ac:dyDescent="0.35">
      <c r="E73" s="81"/>
      <c r="F73" s="81"/>
      <c r="G73" s="81"/>
      <c r="H73" s="81"/>
      <c r="I73" s="81"/>
      <c r="J73" s="81"/>
      <c r="K73" s="81"/>
      <c r="L73" s="81"/>
      <c r="M73" s="81"/>
      <c r="N73" s="81"/>
    </row>
    <row r="74" spans="5:14" x14ac:dyDescent="0.35">
      <c r="E74" s="81"/>
      <c r="F74" s="81"/>
      <c r="G74" s="81"/>
      <c r="H74" s="81"/>
      <c r="I74" s="81"/>
      <c r="J74" s="81"/>
      <c r="K74" s="81"/>
      <c r="L74" s="81"/>
      <c r="M74" s="81"/>
      <c r="N74" s="81"/>
    </row>
    <row r="75" spans="5:14" x14ac:dyDescent="0.35">
      <c r="E75" s="81"/>
      <c r="F75" s="81"/>
      <c r="G75" s="81"/>
      <c r="H75" s="81"/>
      <c r="I75" s="81"/>
      <c r="J75" s="81"/>
      <c r="K75" s="81"/>
      <c r="L75" s="81"/>
      <c r="M75" s="81"/>
      <c r="N75" s="81"/>
    </row>
    <row r="76" spans="5:14" x14ac:dyDescent="0.35">
      <c r="E76" s="81"/>
      <c r="F76" s="81"/>
      <c r="G76" s="81"/>
      <c r="H76" s="81"/>
      <c r="I76" s="81"/>
      <c r="J76" s="81"/>
      <c r="K76" s="81"/>
      <c r="L76" s="81"/>
      <c r="M76" s="81"/>
      <c r="N76" s="81"/>
    </row>
    <row r="77" spans="5:14" x14ac:dyDescent="0.35">
      <c r="E77" s="81"/>
      <c r="F77" s="81"/>
      <c r="G77" s="81"/>
      <c r="H77" s="81"/>
      <c r="I77" s="81"/>
      <c r="J77" s="81"/>
      <c r="K77" s="81"/>
      <c r="L77" s="81"/>
      <c r="M77" s="81"/>
      <c r="N77" s="81"/>
    </row>
    <row r="78" spans="5:14" x14ac:dyDescent="0.35">
      <c r="E78" s="81"/>
      <c r="F78" s="81"/>
      <c r="G78" s="81"/>
      <c r="H78" s="81"/>
      <c r="I78" s="81"/>
      <c r="J78" s="81"/>
      <c r="K78" s="81"/>
      <c r="L78" s="81"/>
      <c r="M78" s="81"/>
      <c r="N78" s="81"/>
    </row>
    <row r="79" spans="5:14" x14ac:dyDescent="0.35">
      <c r="E79" s="81"/>
      <c r="F79" s="81"/>
      <c r="G79" s="81"/>
      <c r="H79" s="81"/>
      <c r="I79" s="81"/>
      <c r="J79" s="81"/>
      <c r="K79" s="81"/>
      <c r="L79" s="81"/>
      <c r="M79" s="81"/>
      <c r="N79" s="81"/>
    </row>
    <row r="80" spans="5:14" x14ac:dyDescent="0.35">
      <c r="E80" s="81"/>
      <c r="F80" s="81"/>
      <c r="G80" s="81"/>
      <c r="H80" s="81"/>
      <c r="I80" s="81"/>
      <c r="J80" s="81"/>
      <c r="K80" s="81"/>
      <c r="L80" s="81"/>
      <c r="M80" s="81"/>
      <c r="N80" s="81"/>
    </row>
    <row r="81" spans="5:14" x14ac:dyDescent="0.35">
      <c r="E81" s="81"/>
      <c r="F81" s="81"/>
      <c r="G81" s="81"/>
      <c r="H81" s="81"/>
      <c r="I81" s="81"/>
      <c r="J81" s="81"/>
      <c r="K81" s="81"/>
      <c r="L81" s="81"/>
      <c r="M81" s="81"/>
      <c r="N81" s="81"/>
    </row>
    <row r="82" spans="5:14" x14ac:dyDescent="0.35">
      <c r="E82" s="81"/>
      <c r="F82" s="81"/>
      <c r="G82" s="81"/>
      <c r="H82" s="81"/>
      <c r="I82" s="81"/>
      <c r="J82" s="81"/>
      <c r="K82" s="81"/>
      <c r="L82" s="81"/>
      <c r="M82" s="81"/>
      <c r="N82" s="81"/>
    </row>
    <row r="83" spans="5:14" x14ac:dyDescent="0.35">
      <c r="E83" s="81"/>
      <c r="F83" s="81"/>
      <c r="G83" s="81"/>
      <c r="H83" s="81"/>
      <c r="I83" s="81"/>
      <c r="J83" s="81"/>
      <c r="K83" s="81"/>
      <c r="L83" s="81"/>
      <c r="M83" s="81"/>
      <c r="N83" s="81"/>
    </row>
    <row r="84" spans="5:14" x14ac:dyDescent="0.35">
      <c r="E84" s="81"/>
      <c r="F84" s="81"/>
      <c r="G84" s="81"/>
      <c r="H84" s="81"/>
      <c r="I84" s="81"/>
      <c r="J84" s="81"/>
      <c r="K84" s="81"/>
      <c r="L84" s="81"/>
      <c r="M84" s="81"/>
      <c r="N84" s="81"/>
    </row>
    <row r="85" spans="5:14" x14ac:dyDescent="0.35">
      <c r="E85" s="81"/>
      <c r="F85" s="81"/>
      <c r="G85" s="81"/>
      <c r="H85" s="81"/>
      <c r="I85" s="81"/>
      <c r="J85" s="81"/>
      <c r="K85" s="81"/>
      <c r="L85" s="81"/>
      <c r="M85" s="81"/>
      <c r="N85" s="81"/>
    </row>
    <row r="86" spans="5:14" x14ac:dyDescent="0.35">
      <c r="E86" s="81"/>
      <c r="F86" s="81"/>
      <c r="G86" s="81"/>
      <c r="H86" s="81"/>
      <c r="I86" s="81"/>
      <c r="J86" s="81"/>
      <c r="K86" s="81"/>
      <c r="L86" s="81"/>
      <c r="M86" s="81"/>
      <c r="N86" s="81"/>
    </row>
    <row r="87" spans="5:14" x14ac:dyDescent="0.35">
      <c r="E87" s="81"/>
      <c r="F87" s="81"/>
      <c r="G87" s="81"/>
      <c r="H87" s="81"/>
      <c r="I87" s="81"/>
      <c r="J87" s="81"/>
      <c r="K87" s="81"/>
      <c r="L87" s="81"/>
      <c r="M87" s="81"/>
      <c r="N87" s="81"/>
    </row>
    <row r="88" spans="5:14" x14ac:dyDescent="0.35">
      <c r="E88" s="81"/>
      <c r="F88" s="81"/>
      <c r="G88" s="81"/>
      <c r="H88" s="81"/>
      <c r="I88" s="81"/>
      <c r="J88" s="81"/>
      <c r="K88" s="81"/>
      <c r="L88" s="81"/>
      <c r="M88" s="81"/>
      <c r="N88" s="81"/>
    </row>
    <row r="89" spans="5:14" x14ac:dyDescent="0.35">
      <c r="E89" s="81"/>
      <c r="F89" s="81"/>
      <c r="G89" s="81"/>
      <c r="H89" s="81"/>
      <c r="I89" s="81"/>
      <c r="J89" s="81"/>
      <c r="K89" s="81"/>
      <c r="L89" s="81"/>
      <c r="M89" s="81"/>
      <c r="N89" s="81"/>
    </row>
    <row r="90" spans="5:14" x14ac:dyDescent="0.35">
      <c r="E90" s="81"/>
      <c r="F90" s="81"/>
      <c r="G90" s="81"/>
      <c r="H90" s="81"/>
      <c r="I90" s="81"/>
      <c r="J90" s="81"/>
      <c r="K90" s="81"/>
      <c r="L90" s="81"/>
      <c r="M90" s="81"/>
      <c r="N90" s="81"/>
    </row>
    <row r="91" spans="5:14" x14ac:dyDescent="0.35">
      <c r="E91" s="81"/>
      <c r="F91" s="81"/>
      <c r="G91" s="81"/>
      <c r="H91" s="81"/>
      <c r="I91" s="81"/>
      <c r="J91" s="81"/>
      <c r="K91" s="81"/>
      <c r="L91" s="81"/>
      <c r="M91" s="81"/>
      <c r="N91" s="81"/>
    </row>
    <row r="92" spans="5:14" x14ac:dyDescent="0.35">
      <c r="E92" s="81"/>
      <c r="F92" s="81"/>
      <c r="G92" s="81"/>
      <c r="H92" s="81"/>
      <c r="I92" s="81"/>
      <c r="J92" s="81"/>
      <c r="K92" s="81"/>
      <c r="L92" s="81"/>
      <c r="M92" s="81"/>
      <c r="N92" s="81"/>
    </row>
    <row r="93" spans="5:14" x14ac:dyDescent="0.35">
      <c r="E93" s="81"/>
      <c r="F93" s="81"/>
      <c r="G93" s="81"/>
      <c r="H93" s="81"/>
      <c r="I93" s="81"/>
      <c r="J93" s="81"/>
      <c r="K93" s="81"/>
      <c r="L93" s="81"/>
      <c r="M93" s="81"/>
      <c r="N93" s="81"/>
    </row>
    <row r="94" spans="5:14" x14ac:dyDescent="0.35">
      <c r="E94" s="81"/>
      <c r="F94" s="81"/>
      <c r="G94" s="81"/>
      <c r="H94" s="81"/>
      <c r="I94" s="81"/>
      <c r="J94" s="81"/>
      <c r="K94" s="81"/>
      <c r="L94" s="81"/>
      <c r="M94" s="81"/>
      <c r="N94" s="81"/>
    </row>
    <row r="95" spans="5:14" x14ac:dyDescent="0.35">
      <c r="E95" s="81"/>
      <c r="F95" s="81"/>
      <c r="G95" s="81"/>
      <c r="H95" s="81"/>
      <c r="I95" s="81"/>
      <c r="J95" s="81"/>
      <c r="K95" s="81"/>
      <c r="L95" s="81"/>
      <c r="M95" s="81"/>
      <c r="N95" s="81"/>
    </row>
    <row r="96" spans="5:14" x14ac:dyDescent="0.35">
      <c r="E96" s="81"/>
      <c r="F96" s="81"/>
      <c r="G96" s="81"/>
      <c r="H96" s="81"/>
      <c r="I96" s="81"/>
      <c r="J96" s="81"/>
      <c r="K96" s="81"/>
      <c r="L96" s="81"/>
      <c r="M96" s="81"/>
      <c r="N96" s="81"/>
    </row>
    <row r="97" spans="5:14" x14ac:dyDescent="0.35">
      <c r="E97" s="81"/>
      <c r="F97" s="81"/>
      <c r="G97" s="81"/>
      <c r="H97" s="81"/>
      <c r="I97" s="81"/>
      <c r="J97" s="81"/>
      <c r="K97" s="81"/>
      <c r="L97" s="81"/>
      <c r="M97" s="81"/>
      <c r="N97" s="81"/>
    </row>
    <row r="98" spans="5:14" x14ac:dyDescent="0.35">
      <c r="E98" s="81"/>
      <c r="F98" s="81"/>
      <c r="G98" s="81"/>
      <c r="H98" s="81"/>
      <c r="I98" s="81"/>
      <c r="J98" s="81"/>
      <c r="K98" s="81"/>
      <c r="L98" s="81"/>
      <c r="M98" s="81"/>
      <c r="N98" s="81"/>
    </row>
    <row r="99" spans="5:14" x14ac:dyDescent="0.35">
      <c r="E99" s="81"/>
      <c r="F99" s="81"/>
      <c r="G99" s="81"/>
      <c r="H99" s="81"/>
      <c r="I99" s="81"/>
      <c r="J99" s="81"/>
      <c r="K99" s="81"/>
      <c r="L99" s="81"/>
      <c r="M99" s="81"/>
      <c r="N99" s="81"/>
    </row>
    <row r="100" spans="5:14" x14ac:dyDescent="0.35">
      <c r="E100" s="81"/>
      <c r="F100" s="81"/>
      <c r="G100" s="81"/>
      <c r="H100" s="81"/>
      <c r="I100" s="81"/>
      <c r="J100" s="81"/>
      <c r="K100" s="81"/>
      <c r="L100" s="81"/>
      <c r="M100" s="81"/>
      <c r="N100" s="81"/>
    </row>
    <row r="101" spans="5:14" x14ac:dyDescent="0.35">
      <c r="E101" s="81"/>
      <c r="F101" s="81"/>
      <c r="G101" s="81"/>
      <c r="H101" s="81"/>
      <c r="I101" s="81"/>
      <c r="J101" s="81"/>
      <c r="K101" s="81"/>
      <c r="L101" s="81"/>
      <c r="M101" s="81"/>
      <c r="N101" s="81"/>
    </row>
    <row r="102" spans="5:14" x14ac:dyDescent="0.35">
      <c r="E102" s="81"/>
      <c r="F102" s="81"/>
      <c r="G102" s="81"/>
      <c r="H102" s="81"/>
      <c r="I102" s="81"/>
      <c r="J102" s="81"/>
      <c r="K102" s="81"/>
      <c r="L102" s="81"/>
      <c r="M102" s="81"/>
      <c r="N102" s="81"/>
    </row>
    <row r="103" spans="5:14" x14ac:dyDescent="0.35">
      <c r="E103" s="81"/>
      <c r="F103" s="81"/>
      <c r="G103" s="81"/>
      <c r="H103" s="81"/>
      <c r="I103" s="81"/>
      <c r="J103" s="81"/>
      <c r="K103" s="81"/>
      <c r="L103" s="81"/>
      <c r="M103" s="81"/>
      <c r="N103" s="81"/>
    </row>
    <row r="104" spans="5:14" x14ac:dyDescent="0.35">
      <c r="E104" s="81"/>
      <c r="F104" s="81"/>
      <c r="G104" s="81"/>
      <c r="H104" s="81"/>
      <c r="I104" s="81"/>
      <c r="J104" s="81"/>
      <c r="K104" s="81"/>
      <c r="L104" s="81"/>
      <c r="M104" s="81"/>
      <c r="N104" s="81"/>
    </row>
    <row r="105" spans="5:14" x14ac:dyDescent="0.35">
      <c r="E105" s="81"/>
      <c r="F105" s="81"/>
      <c r="G105" s="81"/>
      <c r="H105" s="81"/>
      <c r="I105" s="81"/>
      <c r="J105" s="81"/>
      <c r="K105" s="81"/>
      <c r="L105" s="81"/>
      <c r="M105" s="81"/>
      <c r="N105" s="81"/>
    </row>
    <row r="106" spans="5:14" x14ac:dyDescent="0.35">
      <c r="E106" s="81"/>
      <c r="F106" s="81"/>
      <c r="G106" s="81"/>
      <c r="H106" s="81"/>
      <c r="I106" s="81"/>
      <c r="J106" s="81"/>
      <c r="K106" s="81"/>
      <c r="L106" s="81"/>
      <c r="M106" s="81"/>
      <c r="N106" s="81"/>
    </row>
    <row r="107" spans="5:14" x14ac:dyDescent="0.35">
      <c r="E107" s="81"/>
      <c r="F107" s="81"/>
      <c r="G107" s="81"/>
      <c r="H107" s="81"/>
      <c r="I107" s="81"/>
      <c r="J107" s="81"/>
      <c r="K107" s="81"/>
      <c r="L107" s="81"/>
      <c r="M107" s="81"/>
      <c r="N107" s="81"/>
    </row>
    <row r="108" spans="5:14" x14ac:dyDescent="0.35">
      <c r="E108" s="81"/>
      <c r="F108" s="81"/>
      <c r="G108" s="81"/>
      <c r="H108" s="81"/>
      <c r="I108" s="81"/>
      <c r="J108" s="81"/>
      <c r="K108" s="81"/>
      <c r="L108" s="81"/>
      <c r="M108" s="81"/>
      <c r="N108" s="81"/>
    </row>
    <row r="109" spans="5:14" x14ac:dyDescent="0.35">
      <c r="E109" s="81"/>
      <c r="F109" s="81"/>
      <c r="G109" s="81"/>
      <c r="H109" s="81"/>
      <c r="I109" s="81"/>
      <c r="J109" s="81"/>
      <c r="K109" s="81"/>
      <c r="L109" s="81"/>
      <c r="M109" s="81"/>
      <c r="N109" s="81"/>
    </row>
    <row r="110" spans="5:14" x14ac:dyDescent="0.35">
      <c r="E110" s="81"/>
      <c r="F110" s="81"/>
      <c r="G110" s="81"/>
      <c r="H110" s="81"/>
      <c r="I110" s="81"/>
      <c r="J110" s="81"/>
      <c r="K110" s="81"/>
      <c r="L110" s="81"/>
      <c r="M110" s="81"/>
      <c r="N110" s="81"/>
    </row>
    <row r="111" spans="5:14" x14ac:dyDescent="0.35">
      <c r="E111" s="81"/>
      <c r="F111" s="81"/>
      <c r="G111" s="81"/>
      <c r="H111" s="81"/>
      <c r="I111" s="81"/>
      <c r="J111" s="81"/>
      <c r="K111" s="81"/>
      <c r="L111" s="81"/>
      <c r="M111" s="81"/>
      <c r="N111" s="81"/>
    </row>
    <row r="112" spans="5:14" x14ac:dyDescent="0.35">
      <c r="E112" s="81"/>
      <c r="F112" s="81"/>
      <c r="G112" s="81"/>
      <c r="H112" s="81"/>
      <c r="I112" s="81"/>
      <c r="J112" s="81"/>
      <c r="K112" s="81"/>
      <c r="L112" s="81"/>
      <c r="M112" s="81"/>
      <c r="N112" s="81"/>
    </row>
    <row r="113" spans="5:14" x14ac:dyDescent="0.35">
      <c r="E113" s="81"/>
      <c r="F113" s="81"/>
      <c r="G113" s="81"/>
      <c r="H113" s="81"/>
      <c r="I113" s="81"/>
      <c r="J113" s="81"/>
      <c r="K113" s="81"/>
      <c r="L113" s="81"/>
      <c r="M113" s="81"/>
      <c r="N113" s="81"/>
    </row>
    <row r="114" spans="5:14" x14ac:dyDescent="0.35">
      <c r="E114" s="81"/>
      <c r="F114" s="81"/>
      <c r="G114" s="81"/>
      <c r="H114" s="81"/>
      <c r="I114" s="81"/>
      <c r="J114" s="81"/>
      <c r="K114" s="81"/>
      <c r="L114" s="81"/>
      <c r="M114" s="81"/>
      <c r="N114" s="81"/>
    </row>
    <row r="115" spans="5:14" x14ac:dyDescent="0.35">
      <c r="E115" s="81"/>
      <c r="F115" s="81"/>
      <c r="G115" s="81"/>
      <c r="H115" s="81"/>
      <c r="I115" s="81"/>
      <c r="J115" s="81"/>
      <c r="K115" s="81"/>
      <c r="L115" s="81"/>
      <c r="M115" s="81"/>
      <c r="N115" s="81"/>
    </row>
    <row r="116" spans="5:14" x14ac:dyDescent="0.35">
      <c r="E116" s="81"/>
      <c r="F116" s="81"/>
      <c r="G116" s="81"/>
      <c r="H116" s="81"/>
      <c r="I116" s="81"/>
      <c r="J116" s="81"/>
      <c r="K116" s="81"/>
      <c r="L116" s="81"/>
      <c r="M116" s="81"/>
      <c r="N116" s="81"/>
    </row>
    <row r="117" spans="5:14" x14ac:dyDescent="0.35">
      <c r="E117" s="81"/>
      <c r="F117" s="81"/>
      <c r="G117" s="81"/>
      <c r="H117" s="81"/>
      <c r="I117" s="81"/>
      <c r="J117" s="81"/>
      <c r="K117" s="81"/>
      <c r="L117" s="81"/>
      <c r="M117" s="81"/>
      <c r="N117" s="81"/>
    </row>
    <row r="118" spans="5:14" x14ac:dyDescent="0.35">
      <c r="E118" s="81"/>
      <c r="F118" s="81"/>
      <c r="G118" s="81"/>
      <c r="H118" s="81"/>
      <c r="I118" s="81"/>
      <c r="J118" s="81"/>
      <c r="K118" s="81"/>
      <c r="L118" s="81"/>
      <c r="M118" s="81"/>
      <c r="N118" s="81"/>
    </row>
    <row r="119" spans="5:14" x14ac:dyDescent="0.35">
      <c r="E119" s="81"/>
      <c r="F119" s="81"/>
      <c r="G119" s="81"/>
      <c r="H119" s="81"/>
      <c r="I119" s="81"/>
      <c r="J119" s="81"/>
      <c r="K119" s="81"/>
      <c r="L119" s="81"/>
      <c r="M119" s="81"/>
      <c r="N119" s="81"/>
    </row>
    <row r="120" spans="5:14" x14ac:dyDescent="0.35">
      <c r="E120" s="81"/>
      <c r="F120" s="81"/>
      <c r="G120" s="81"/>
      <c r="H120" s="81"/>
      <c r="I120" s="81"/>
      <c r="J120" s="81"/>
      <c r="K120" s="81"/>
      <c r="L120" s="81"/>
      <c r="M120" s="81"/>
      <c r="N120" s="81"/>
    </row>
    <row r="121" spans="5:14" x14ac:dyDescent="0.35">
      <c r="E121" s="81"/>
      <c r="F121" s="81"/>
      <c r="G121" s="81"/>
      <c r="H121" s="81"/>
      <c r="I121" s="81"/>
      <c r="J121" s="81"/>
      <c r="K121" s="81"/>
      <c r="L121" s="81"/>
      <c r="M121" s="81"/>
      <c r="N121" s="81"/>
    </row>
    <row r="122" spans="5:14" x14ac:dyDescent="0.35">
      <c r="E122" s="81"/>
      <c r="F122" s="81"/>
      <c r="G122" s="81"/>
      <c r="H122" s="81"/>
      <c r="I122" s="81"/>
      <c r="J122" s="81"/>
      <c r="K122" s="81"/>
      <c r="L122" s="81"/>
      <c r="M122" s="81"/>
      <c r="N122" s="81"/>
    </row>
    <row r="123" spans="5:14" x14ac:dyDescent="0.35">
      <c r="E123" s="81"/>
      <c r="F123" s="81"/>
      <c r="G123" s="81"/>
      <c r="H123" s="81"/>
      <c r="I123" s="81"/>
      <c r="J123" s="81"/>
      <c r="K123" s="81"/>
      <c r="L123" s="81"/>
      <c r="M123" s="81"/>
      <c r="N123" s="81"/>
    </row>
    <row r="124" spans="5:14" x14ac:dyDescent="0.35">
      <c r="E124" s="81"/>
      <c r="F124" s="81"/>
      <c r="G124" s="81"/>
      <c r="H124" s="81"/>
      <c r="I124" s="81"/>
      <c r="J124" s="81"/>
      <c r="K124" s="81"/>
      <c r="L124" s="81"/>
      <c r="M124" s="81"/>
      <c r="N124" s="81"/>
    </row>
    <row r="125" spans="5:14" x14ac:dyDescent="0.35">
      <c r="E125" s="81"/>
      <c r="F125" s="81"/>
      <c r="G125" s="81"/>
      <c r="H125" s="81"/>
      <c r="I125" s="81"/>
      <c r="J125" s="81"/>
      <c r="K125" s="81"/>
      <c r="L125" s="81"/>
      <c r="M125" s="81"/>
      <c r="N125" s="81"/>
    </row>
    <row r="126" spans="5:14" x14ac:dyDescent="0.35">
      <c r="E126" s="81"/>
      <c r="F126" s="81"/>
      <c r="G126" s="81"/>
      <c r="H126" s="81"/>
      <c r="I126" s="81"/>
      <c r="J126" s="81"/>
      <c r="K126" s="81"/>
      <c r="L126" s="81"/>
      <c r="M126" s="81"/>
      <c r="N126" s="81"/>
    </row>
    <row r="127" spans="5:14" x14ac:dyDescent="0.35">
      <c r="E127" s="81"/>
      <c r="F127" s="81"/>
      <c r="G127" s="81"/>
      <c r="H127" s="81"/>
      <c r="I127" s="81"/>
      <c r="J127" s="81"/>
      <c r="K127" s="81"/>
      <c r="L127" s="81"/>
      <c r="M127" s="81"/>
      <c r="N127" s="81"/>
    </row>
    <row r="128" spans="5:14" x14ac:dyDescent="0.35">
      <c r="E128" s="81"/>
      <c r="F128" s="81"/>
      <c r="G128" s="81"/>
      <c r="H128" s="81"/>
      <c r="I128" s="81"/>
      <c r="J128" s="81"/>
      <c r="K128" s="81"/>
      <c r="L128" s="81"/>
      <c r="M128" s="81"/>
      <c r="N128" s="81"/>
    </row>
    <row r="129" spans="5:14" x14ac:dyDescent="0.35">
      <c r="E129" s="81"/>
      <c r="F129" s="81"/>
      <c r="G129" s="81"/>
      <c r="H129" s="81"/>
      <c r="I129" s="81"/>
      <c r="J129" s="81"/>
      <c r="K129" s="81"/>
      <c r="L129" s="81"/>
      <c r="M129" s="81"/>
      <c r="N129" s="81"/>
    </row>
    <row r="130" spans="5:14" x14ac:dyDescent="0.35">
      <c r="E130" s="81"/>
      <c r="F130" s="81"/>
      <c r="G130" s="81"/>
      <c r="H130" s="81"/>
      <c r="I130" s="81"/>
      <c r="J130" s="81"/>
      <c r="K130" s="81"/>
      <c r="L130" s="81"/>
      <c r="M130" s="81"/>
      <c r="N130" s="81"/>
    </row>
    <row r="131" spans="5:14" x14ac:dyDescent="0.35">
      <c r="E131" s="81"/>
      <c r="F131" s="81"/>
      <c r="G131" s="81"/>
      <c r="H131" s="81"/>
      <c r="I131" s="81"/>
      <c r="J131" s="81"/>
      <c r="K131" s="81"/>
      <c r="L131" s="81"/>
      <c r="M131" s="81"/>
      <c r="N131" s="81"/>
    </row>
    <row r="132" spans="5:14" x14ac:dyDescent="0.35">
      <c r="E132" s="81"/>
      <c r="F132" s="81"/>
      <c r="G132" s="81"/>
      <c r="H132" s="81"/>
      <c r="I132" s="81"/>
      <c r="J132" s="81"/>
      <c r="K132" s="81"/>
      <c r="L132" s="81"/>
      <c r="M132" s="81"/>
      <c r="N132" s="81"/>
    </row>
    <row r="133" spans="5:14" x14ac:dyDescent="0.35">
      <c r="E133" s="81"/>
      <c r="F133" s="81"/>
      <c r="G133" s="81"/>
      <c r="H133" s="81"/>
      <c r="I133" s="81"/>
      <c r="J133" s="81"/>
      <c r="K133" s="81"/>
      <c r="L133" s="81"/>
      <c r="M133" s="81"/>
      <c r="N133" s="81"/>
    </row>
    <row r="134" spans="5:14" x14ac:dyDescent="0.35">
      <c r="E134" s="81"/>
      <c r="F134" s="81"/>
      <c r="G134" s="81"/>
      <c r="H134" s="81"/>
      <c r="I134" s="81"/>
      <c r="J134" s="81"/>
      <c r="K134" s="81"/>
      <c r="L134" s="81"/>
      <c r="M134" s="81"/>
      <c r="N134" s="81"/>
    </row>
    <row r="135" spans="5:14" x14ac:dyDescent="0.35">
      <c r="E135" s="81"/>
      <c r="F135" s="81"/>
      <c r="G135" s="81"/>
      <c r="H135" s="81"/>
      <c r="I135" s="81"/>
      <c r="J135" s="81"/>
      <c r="K135" s="81"/>
      <c r="L135" s="81"/>
      <c r="M135" s="81"/>
      <c r="N135" s="81"/>
    </row>
    <row r="136" spans="5:14" x14ac:dyDescent="0.35">
      <c r="E136" s="81"/>
      <c r="F136" s="81"/>
      <c r="G136" s="81"/>
      <c r="H136" s="81"/>
      <c r="I136" s="81"/>
      <c r="J136" s="81"/>
      <c r="K136" s="81"/>
      <c r="L136" s="81"/>
      <c r="M136" s="81"/>
      <c r="N136" s="81"/>
    </row>
    <row r="137" spans="5:14" x14ac:dyDescent="0.35">
      <c r="E137" s="81"/>
      <c r="F137" s="81"/>
      <c r="G137" s="81"/>
      <c r="H137" s="81"/>
      <c r="I137" s="81"/>
      <c r="J137" s="81"/>
      <c r="K137" s="81"/>
      <c r="L137" s="81"/>
      <c r="M137" s="81"/>
      <c r="N137" s="81"/>
    </row>
    <row r="138" spans="5:14" x14ac:dyDescent="0.35">
      <c r="E138" s="81"/>
      <c r="F138" s="81"/>
      <c r="G138" s="81"/>
      <c r="H138" s="81"/>
      <c r="I138" s="81"/>
      <c r="J138" s="81"/>
      <c r="K138" s="81"/>
      <c r="L138" s="81"/>
      <c r="M138" s="81"/>
      <c r="N138" s="81"/>
    </row>
    <row r="139" spans="5:14" x14ac:dyDescent="0.35">
      <c r="E139" s="81"/>
      <c r="F139" s="81"/>
      <c r="G139" s="81"/>
      <c r="H139" s="81"/>
      <c r="I139" s="81"/>
      <c r="J139" s="81"/>
      <c r="K139" s="81"/>
      <c r="L139" s="81"/>
      <c r="M139" s="81"/>
      <c r="N139" s="81"/>
    </row>
    <row r="140" spans="5:14" x14ac:dyDescent="0.35">
      <c r="E140" s="81"/>
      <c r="F140" s="81"/>
      <c r="G140" s="81"/>
      <c r="H140" s="81"/>
      <c r="I140" s="81"/>
      <c r="J140" s="81"/>
      <c r="K140" s="81"/>
      <c r="L140" s="81"/>
      <c r="M140" s="81"/>
      <c r="N140" s="81"/>
    </row>
    <row r="141" spans="5:14" x14ac:dyDescent="0.35">
      <c r="E141" s="81"/>
      <c r="F141" s="81"/>
      <c r="G141" s="81"/>
      <c r="H141" s="81"/>
      <c r="I141" s="81"/>
      <c r="J141" s="81"/>
      <c r="K141" s="81"/>
      <c r="L141" s="81"/>
      <c r="M141" s="81"/>
      <c r="N141" s="81"/>
    </row>
    <row r="142" spans="5:14" x14ac:dyDescent="0.35">
      <c r="E142" s="81"/>
      <c r="F142" s="81"/>
      <c r="G142" s="81"/>
      <c r="H142" s="81"/>
      <c r="I142" s="81"/>
      <c r="J142" s="81"/>
      <c r="K142" s="81"/>
      <c r="L142" s="81"/>
      <c r="M142" s="81"/>
      <c r="N142" s="81"/>
    </row>
    <row r="143" spans="5:14" x14ac:dyDescent="0.35">
      <c r="E143" s="81"/>
      <c r="F143" s="81"/>
      <c r="G143" s="81"/>
      <c r="H143" s="81"/>
      <c r="I143" s="81"/>
      <c r="J143" s="81"/>
      <c r="K143" s="81"/>
      <c r="L143" s="81"/>
      <c r="M143" s="81"/>
      <c r="N143" s="81"/>
    </row>
    <row r="144" spans="5:14" x14ac:dyDescent="0.35">
      <c r="E144" s="81"/>
      <c r="F144" s="81"/>
      <c r="G144" s="81"/>
      <c r="H144" s="81"/>
      <c r="I144" s="81"/>
      <c r="J144" s="81"/>
      <c r="K144" s="81"/>
      <c r="L144" s="81"/>
      <c r="M144" s="81"/>
      <c r="N144" s="81"/>
    </row>
    <row r="145" spans="5:14" x14ac:dyDescent="0.35">
      <c r="E145" s="81"/>
      <c r="F145" s="81"/>
      <c r="G145" s="81"/>
      <c r="H145" s="81"/>
      <c r="I145" s="81"/>
      <c r="J145" s="81"/>
      <c r="K145" s="81"/>
      <c r="L145" s="81"/>
      <c r="M145" s="81"/>
      <c r="N145" s="81"/>
    </row>
    <row r="146" spans="5:14" x14ac:dyDescent="0.35">
      <c r="E146" s="81"/>
      <c r="F146" s="81"/>
      <c r="G146" s="81"/>
      <c r="H146" s="81"/>
      <c r="I146" s="81"/>
      <c r="J146" s="81"/>
      <c r="K146" s="81"/>
      <c r="L146" s="81"/>
      <c r="M146" s="81"/>
      <c r="N146" s="81"/>
    </row>
    <row r="147" spans="5:14" x14ac:dyDescent="0.35">
      <c r="E147" s="81"/>
      <c r="F147" s="81"/>
      <c r="G147" s="81"/>
      <c r="H147" s="81"/>
      <c r="I147" s="81"/>
      <c r="J147" s="81"/>
      <c r="K147" s="81"/>
      <c r="L147" s="81"/>
      <c r="M147" s="81"/>
      <c r="N147" s="81"/>
    </row>
    <row r="148" spans="5:14" x14ac:dyDescent="0.35">
      <c r="E148" s="81"/>
      <c r="F148" s="81"/>
      <c r="G148" s="81"/>
      <c r="H148" s="81"/>
      <c r="I148" s="81"/>
      <c r="J148" s="81"/>
      <c r="K148" s="81"/>
      <c r="L148" s="81"/>
      <c r="M148" s="81"/>
      <c r="N148" s="81"/>
    </row>
    <row r="149" spans="5:14" x14ac:dyDescent="0.35">
      <c r="E149" s="81"/>
      <c r="F149" s="81"/>
      <c r="G149" s="81"/>
      <c r="H149" s="81"/>
      <c r="I149" s="81"/>
      <c r="J149" s="81"/>
      <c r="K149" s="81"/>
      <c r="L149" s="81"/>
      <c r="M149" s="81"/>
      <c r="N149" s="81"/>
    </row>
    <row r="150" spans="5:14" x14ac:dyDescent="0.35">
      <c r="E150" s="81"/>
      <c r="F150" s="81"/>
      <c r="G150" s="81"/>
      <c r="H150" s="81"/>
      <c r="I150" s="81"/>
      <c r="J150" s="81"/>
      <c r="K150" s="81"/>
      <c r="L150" s="81"/>
      <c r="M150" s="81"/>
      <c r="N150" s="81"/>
    </row>
    <row r="151" spans="5:14" x14ac:dyDescent="0.35">
      <c r="E151" s="81"/>
      <c r="F151" s="81"/>
      <c r="G151" s="81"/>
      <c r="H151" s="81"/>
      <c r="I151" s="81"/>
      <c r="J151" s="81"/>
      <c r="K151" s="81"/>
      <c r="L151" s="81"/>
      <c r="M151" s="81"/>
      <c r="N151" s="81"/>
    </row>
    <row r="152" spans="5:14" x14ac:dyDescent="0.35">
      <c r="E152" s="81"/>
      <c r="F152" s="81"/>
      <c r="G152" s="81"/>
      <c r="H152" s="81"/>
      <c r="I152" s="81"/>
      <c r="J152" s="81"/>
      <c r="K152" s="81"/>
      <c r="L152" s="81"/>
      <c r="M152" s="81"/>
      <c r="N152" s="81"/>
    </row>
    <row r="153" spans="5:14" x14ac:dyDescent="0.35">
      <c r="E153" s="81"/>
      <c r="F153" s="81"/>
      <c r="G153" s="81"/>
      <c r="H153" s="81"/>
      <c r="I153" s="81"/>
      <c r="J153" s="81"/>
      <c r="K153" s="81"/>
      <c r="L153" s="81"/>
      <c r="M153" s="81"/>
      <c r="N153" s="81"/>
    </row>
    <row r="154" spans="5:14" x14ac:dyDescent="0.35">
      <c r="E154" s="81"/>
      <c r="F154" s="81"/>
      <c r="G154" s="81"/>
      <c r="H154" s="81"/>
      <c r="I154" s="81"/>
      <c r="J154" s="81"/>
      <c r="K154" s="81"/>
      <c r="L154" s="81"/>
      <c r="M154" s="81"/>
      <c r="N154" s="81"/>
    </row>
    <row r="155" spans="5:14" x14ac:dyDescent="0.35">
      <c r="E155" s="81"/>
      <c r="F155" s="81"/>
      <c r="G155" s="81"/>
      <c r="H155" s="81"/>
      <c r="I155" s="81"/>
      <c r="J155" s="81"/>
      <c r="K155" s="81"/>
      <c r="L155" s="81"/>
      <c r="M155" s="81"/>
      <c r="N155" s="81"/>
    </row>
    <row r="156" spans="5:14" x14ac:dyDescent="0.35">
      <c r="E156" s="81"/>
      <c r="F156" s="81"/>
      <c r="G156" s="81"/>
      <c r="H156" s="81"/>
      <c r="I156" s="81"/>
      <c r="J156" s="81"/>
      <c r="K156" s="81"/>
      <c r="L156" s="81"/>
      <c r="M156" s="81"/>
      <c r="N156" s="81"/>
    </row>
    <row r="157" spans="5:14" x14ac:dyDescent="0.35">
      <c r="E157" s="81"/>
      <c r="F157" s="81"/>
      <c r="G157" s="81"/>
      <c r="H157" s="81"/>
      <c r="I157" s="81"/>
      <c r="J157" s="81"/>
      <c r="K157" s="81"/>
      <c r="L157" s="81"/>
      <c r="M157" s="81"/>
      <c r="N157" s="81"/>
    </row>
    <row r="158" spans="5:14" x14ac:dyDescent="0.35">
      <c r="E158" s="81"/>
      <c r="F158" s="81"/>
      <c r="G158" s="81"/>
      <c r="H158" s="81"/>
      <c r="I158" s="81"/>
      <c r="J158" s="81"/>
      <c r="K158" s="81"/>
      <c r="L158" s="81"/>
      <c r="M158" s="81"/>
      <c r="N158" s="81"/>
    </row>
    <row r="159" spans="5:14" x14ac:dyDescent="0.35">
      <c r="E159" s="81"/>
      <c r="F159" s="81"/>
      <c r="G159" s="81"/>
      <c r="H159" s="81"/>
      <c r="I159" s="81"/>
      <c r="J159" s="81"/>
      <c r="K159" s="81"/>
      <c r="L159" s="81"/>
      <c r="M159" s="81"/>
      <c r="N159" s="81"/>
    </row>
    <row r="160" spans="5:14" x14ac:dyDescent="0.35">
      <c r="E160" s="81"/>
      <c r="F160" s="81"/>
      <c r="G160" s="81"/>
      <c r="H160" s="81"/>
      <c r="I160" s="81"/>
      <c r="J160" s="81"/>
      <c r="K160" s="81"/>
      <c r="L160" s="81"/>
      <c r="M160" s="81"/>
      <c r="N160" s="81"/>
    </row>
    <row r="161" spans="5:14" x14ac:dyDescent="0.35">
      <c r="E161" s="81"/>
      <c r="F161" s="81"/>
      <c r="G161" s="81"/>
      <c r="H161" s="81"/>
      <c r="I161" s="81"/>
      <c r="J161" s="81"/>
      <c r="K161" s="81"/>
      <c r="L161" s="81"/>
      <c r="M161" s="81"/>
      <c r="N161" s="81"/>
    </row>
    <row r="162" spans="5:14" x14ac:dyDescent="0.35">
      <c r="E162" s="81"/>
      <c r="F162" s="81"/>
      <c r="G162" s="81"/>
      <c r="H162" s="81"/>
      <c r="I162" s="81"/>
      <c r="J162" s="81"/>
      <c r="K162" s="81"/>
      <c r="L162" s="81"/>
      <c r="M162" s="81"/>
      <c r="N162" s="81"/>
    </row>
    <row r="163" spans="5:14" x14ac:dyDescent="0.35">
      <c r="E163" s="81"/>
      <c r="F163" s="81"/>
      <c r="G163" s="81"/>
      <c r="H163" s="81"/>
      <c r="I163" s="81"/>
      <c r="J163" s="81"/>
      <c r="K163" s="81"/>
      <c r="L163" s="81"/>
      <c r="M163" s="81"/>
      <c r="N163" s="81"/>
    </row>
    <row r="164" spans="5:14" x14ac:dyDescent="0.35">
      <c r="E164" s="81"/>
      <c r="F164" s="81"/>
      <c r="G164" s="81"/>
      <c r="H164" s="81"/>
      <c r="I164" s="81"/>
      <c r="J164" s="81"/>
      <c r="K164" s="81"/>
      <c r="L164" s="81"/>
      <c r="M164" s="81"/>
      <c r="N164" s="81"/>
    </row>
    <row r="165" spans="5:14" x14ac:dyDescent="0.35">
      <c r="E165" s="81"/>
      <c r="F165" s="81"/>
      <c r="G165" s="81"/>
      <c r="H165" s="81"/>
      <c r="I165" s="81"/>
      <c r="J165" s="81"/>
      <c r="K165" s="81"/>
      <c r="L165" s="81"/>
      <c r="M165" s="81"/>
      <c r="N165" s="81"/>
    </row>
    <row r="166" spans="5:14" x14ac:dyDescent="0.35">
      <c r="E166" s="81"/>
      <c r="F166" s="81"/>
      <c r="G166" s="81"/>
      <c r="H166" s="81"/>
      <c r="I166" s="81"/>
      <c r="J166" s="81"/>
      <c r="K166" s="81"/>
      <c r="L166" s="81"/>
      <c r="M166" s="81"/>
      <c r="N166" s="81"/>
    </row>
    <row r="167" spans="5:14" x14ac:dyDescent="0.35">
      <c r="E167" s="81"/>
      <c r="F167" s="81"/>
      <c r="G167" s="81"/>
      <c r="H167" s="81"/>
      <c r="I167" s="81"/>
      <c r="J167" s="81"/>
      <c r="K167" s="81"/>
      <c r="L167" s="81"/>
      <c r="M167" s="81"/>
      <c r="N167" s="81"/>
    </row>
    <row r="168" spans="5:14" x14ac:dyDescent="0.35">
      <c r="E168" s="81"/>
      <c r="F168" s="81"/>
      <c r="G168" s="81"/>
      <c r="H168" s="81"/>
      <c r="I168" s="81"/>
      <c r="J168" s="81"/>
      <c r="K168" s="81"/>
      <c r="L168" s="81"/>
      <c r="M168" s="81"/>
      <c r="N168" s="81"/>
    </row>
    <row r="169" spans="5:14" x14ac:dyDescent="0.35">
      <c r="E169" s="81"/>
      <c r="F169" s="81"/>
      <c r="G169" s="81"/>
      <c r="H169" s="81"/>
      <c r="I169" s="81"/>
      <c r="J169" s="81"/>
      <c r="K169" s="81"/>
      <c r="L169" s="81"/>
      <c r="M169" s="81"/>
      <c r="N169" s="81"/>
    </row>
    <row r="170" spans="5:14" x14ac:dyDescent="0.35">
      <c r="E170" s="81"/>
      <c r="F170" s="81"/>
      <c r="G170" s="81"/>
      <c r="H170" s="81"/>
      <c r="I170" s="81"/>
      <c r="J170" s="81"/>
      <c r="K170" s="81"/>
      <c r="L170" s="81"/>
      <c r="M170" s="81"/>
      <c r="N170" s="81"/>
    </row>
    <row r="171" spans="5:14" x14ac:dyDescent="0.35">
      <c r="E171" s="81"/>
      <c r="F171" s="81"/>
      <c r="G171" s="81"/>
      <c r="H171" s="81"/>
      <c r="I171" s="81"/>
      <c r="J171" s="81"/>
      <c r="K171" s="81"/>
      <c r="L171" s="81"/>
      <c r="M171" s="81"/>
      <c r="N171" s="81"/>
    </row>
    <row r="172" spans="5:14" x14ac:dyDescent="0.35">
      <c r="E172" s="81"/>
      <c r="F172" s="81"/>
      <c r="G172" s="81"/>
      <c r="H172" s="81"/>
      <c r="I172" s="81"/>
      <c r="J172" s="81"/>
      <c r="K172" s="81"/>
      <c r="L172" s="81"/>
      <c r="M172" s="81"/>
      <c r="N172" s="81"/>
    </row>
    <row r="173" spans="5:14" x14ac:dyDescent="0.35">
      <c r="E173" s="81"/>
      <c r="F173" s="81"/>
      <c r="G173" s="81"/>
      <c r="H173" s="81"/>
      <c r="I173" s="81"/>
      <c r="J173" s="81"/>
      <c r="K173" s="81"/>
      <c r="L173" s="81"/>
      <c r="M173" s="81"/>
      <c r="N173" s="81"/>
    </row>
    <row r="174" spans="5:14" x14ac:dyDescent="0.35">
      <c r="E174" s="81"/>
      <c r="F174" s="81"/>
      <c r="G174" s="81"/>
      <c r="H174" s="81"/>
      <c r="I174" s="81"/>
      <c r="J174" s="81"/>
      <c r="K174" s="81"/>
      <c r="L174" s="81"/>
      <c r="M174" s="81"/>
      <c r="N174" s="81"/>
    </row>
    <row r="175" spans="5:14" x14ac:dyDescent="0.35">
      <c r="E175" s="81"/>
      <c r="F175" s="81"/>
      <c r="G175" s="81"/>
      <c r="H175" s="81"/>
      <c r="I175" s="81"/>
      <c r="J175" s="81"/>
      <c r="K175" s="81"/>
      <c r="L175" s="81"/>
      <c r="M175" s="81"/>
      <c r="N175" s="81"/>
    </row>
    <row r="176" spans="5:14" x14ac:dyDescent="0.35">
      <c r="E176" s="81"/>
      <c r="F176" s="81"/>
      <c r="G176" s="81"/>
      <c r="H176" s="81"/>
      <c r="I176" s="81"/>
      <c r="J176" s="81"/>
      <c r="K176" s="81"/>
      <c r="L176" s="81"/>
      <c r="M176" s="81"/>
      <c r="N176" s="81"/>
    </row>
    <row r="177" spans="5:14" x14ac:dyDescent="0.35">
      <c r="E177" s="81"/>
      <c r="F177" s="81"/>
      <c r="G177" s="81"/>
      <c r="H177" s="81"/>
      <c r="I177" s="81"/>
      <c r="J177" s="81"/>
      <c r="K177" s="81"/>
      <c r="L177" s="81"/>
      <c r="M177" s="81"/>
      <c r="N177" s="81"/>
    </row>
    <row r="178" spans="5:14" x14ac:dyDescent="0.35">
      <c r="E178" s="81"/>
      <c r="F178" s="81"/>
      <c r="G178" s="81"/>
      <c r="H178" s="81"/>
      <c r="I178" s="81"/>
      <c r="J178" s="81"/>
      <c r="K178" s="81"/>
      <c r="L178" s="81"/>
      <c r="M178" s="81"/>
      <c r="N178" s="81"/>
    </row>
    <row r="179" spans="5:14" x14ac:dyDescent="0.35">
      <c r="E179" s="81"/>
      <c r="F179" s="81"/>
      <c r="G179" s="81"/>
      <c r="H179" s="81"/>
      <c r="I179" s="81"/>
      <c r="J179" s="81"/>
      <c r="K179" s="81"/>
      <c r="L179" s="81"/>
      <c r="M179" s="81"/>
      <c r="N179" s="81"/>
    </row>
    <row r="180" spans="5:14" x14ac:dyDescent="0.35">
      <c r="E180" s="81"/>
      <c r="F180" s="81"/>
      <c r="G180" s="81"/>
      <c r="H180" s="81"/>
      <c r="I180" s="81"/>
      <c r="J180" s="81"/>
      <c r="K180" s="81"/>
      <c r="L180" s="81"/>
      <c r="M180" s="81"/>
      <c r="N180" s="81"/>
    </row>
    <row r="181" spans="5:14" x14ac:dyDescent="0.35">
      <c r="E181" s="81"/>
      <c r="F181" s="81"/>
      <c r="G181" s="81"/>
      <c r="H181" s="81"/>
      <c r="I181" s="81"/>
      <c r="J181" s="81"/>
      <c r="K181" s="81"/>
      <c r="L181" s="81"/>
      <c r="M181" s="81"/>
      <c r="N181" s="81"/>
    </row>
    <row r="182" spans="5:14" x14ac:dyDescent="0.35">
      <c r="E182" s="81"/>
      <c r="F182" s="81"/>
      <c r="G182" s="81"/>
      <c r="H182" s="81"/>
      <c r="I182" s="81"/>
      <c r="J182" s="81"/>
      <c r="K182" s="81"/>
      <c r="L182" s="81"/>
      <c r="M182" s="81"/>
      <c r="N182" s="81"/>
    </row>
    <row r="183" spans="5:14" x14ac:dyDescent="0.35">
      <c r="E183" s="81"/>
      <c r="F183" s="81"/>
      <c r="G183" s="81"/>
      <c r="H183" s="81"/>
      <c r="I183" s="81"/>
      <c r="J183" s="81"/>
      <c r="K183" s="81"/>
      <c r="L183" s="81"/>
      <c r="M183" s="81"/>
      <c r="N183" s="81"/>
    </row>
    <row r="184" spans="5:14" x14ac:dyDescent="0.35">
      <c r="E184" s="81"/>
      <c r="F184" s="81"/>
      <c r="G184" s="81"/>
      <c r="H184" s="81"/>
      <c r="I184" s="81"/>
      <c r="J184" s="81"/>
      <c r="K184" s="81"/>
      <c r="L184" s="81"/>
      <c r="M184" s="81"/>
      <c r="N184" s="81"/>
    </row>
    <row r="185" spans="5:14" x14ac:dyDescent="0.35">
      <c r="E185" s="81"/>
      <c r="F185" s="81"/>
      <c r="G185" s="81"/>
      <c r="H185" s="81"/>
      <c r="I185" s="81"/>
      <c r="J185" s="81"/>
      <c r="K185" s="81"/>
      <c r="L185" s="81"/>
      <c r="M185" s="81"/>
      <c r="N185" s="81"/>
    </row>
    <row r="186" spans="5:14" x14ac:dyDescent="0.35">
      <c r="E186" s="81"/>
      <c r="F186" s="81"/>
      <c r="G186" s="81"/>
      <c r="H186" s="81"/>
      <c r="I186" s="81"/>
      <c r="J186" s="81"/>
      <c r="K186" s="81"/>
      <c r="L186" s="81"/>
      <c r="M186" s="81"/>
      <c r="N186" s="81"/>
    </row>
    <row r="187" spans="5:14" x14ac:dyDescent="0.35">
      <c r="E187" s="81"/>
      <c r="F187" s="81"/>
      <c r="G187" s="81"/>
      <c r="H187" s="81"/>
      <c r="I187" s="81"/>
      <c r="J187" s="81"/>
      <c r="K187" s="81"/>
      <c r="L187" s="81"/>
      <c r="M187" s="81"/>
      <c r="N187" s="81"/>
    </row>
    <row r="188" spans="5:14" x14ac:dyDescent="0.35">
      <c r="E188" s="81"/>
      <c r="F188" s="81"/>
      <c r="G188" s="81"/>
      <c r="H188" s="81"/>
      <c r="I188" s="81"/>
      <c r="J188" s="81"/>
      <c r="K188" s="81"/>
      <c r="L188" s="81"/>
      <c r="M188" s="81"/>
      <c r="N188" s="81"/>
    </row>
    <row r="189" spans="5:14" x14ac:dyDescent="0.35">
      <c r="E189" s="81"/>
      <c r="F189" s="81"/>
      <c r="G189" s="81"/>
      <c r="H189" s="81"/>
      <c r="I189" s="81"/>
      <c r="J189" s="81"/>
      <c r="K189" s="81"/>
      <c r="L189" s="81"/>
      <c r="M189" s="81"/>
      <c r="N189" s="81"/>
    </row>
    <row r="190" spans="5:14" x14ac:dyDescent="0.35">
      <c r="E190" s="81"/>
      <c r="F190" s="81"/>
      <c r="G190" s="81"/>
      <c r="H190" s="81"/>
      <c r="I190" s="81"/>
      <c r="J190" s="81"/>
      <c r="K190" s="81"/>
      <c r="L190" s="81"/>
      <c r="M190" s="81"/>
      <c r="N190" s="81"/>
    </row>
    <row r="191" spans="5:14" x14ac:dyDescent="0.35">
      <c r="E191" s="81"/>
      <c r="F191" s="81"/>
      <c r="G191" s="81"/>
      <c r="H191" s="81"/>
      <c r="I191" s="81"/>
      <c r="J191" s="81"/>
      <c r="K191" s="81"/>
      <c r="L191" s="81"/>
      <c r="M191" s="81"/>
      <c r="N191" s="81"/>
    </row>
    <row r="192" spans="5:14" x14ac:dyDescent="0.35">
      <c r="E192" s="81"/>
      <c r="F192" s="81"/>
      <c r="G192" s="81"/>
      <c r="H192" s="81"/>
      <c r="I192" s="81"/>
      <c r="J192" s="81"/>
      <c r="K192" s="81"/>
      <c r="L192" s="81"/>
      <c r="M192" s="81"/>
      <c r="N192" s="81"/>
    </row>
    <row r="193" spans="5:14" x14ac:dyDescent="0.35">
      <c r="E193" s="81"/>
      <c r="F193" s="81"/>
      <c r="G193" s="81"/>
      <c r="H193" s="81"/>
      <c r="I193" s="81"/>
      <c r="J193" s="81"/>
      <c r="K193" s="81"/>
      <c r="L193" s="81"/>
      <c r="M193" s="81"/>
      <c r="N193" s="81"/>
    </row>
    <row r="194" spans="5:14" x14ac:dyDescent="0.35">
      <c r="E194" s="81"/>
      <c r="F194" s="81"/>
      <c r="G194" s="81"/>
      <c r="H194" s="81"/>
      <c r="I194" s="81"/>
      <c r="J194" s="81"/>
      <c r="K194" s="81"/>
      <c r="L194" s="81"/>
      <c r="M194" s="81"/>
      <c r="N194" s="81"/>
    </row>
    <row r="195" spans="5:14" x14ac:dyDescent="0.35">
      <c r="E195" s="81"/>
      <c r="F195" s="81"/>
      <c r="G195" s="81"/>
      <c r="H195" s="81"/>
      <c r="I195" s="81"/>
      <c r="J195" s="81"/>
      <c r="K195" s="81"/>
      <c r="L195" s="81"/>
      <c r="M195" s="81"/>
      <c r="N195" s="81"/>
    </row>
    <row r="196" spans="5:14" x14ac:dyDescent="0.35">
      <c r="E196" s="81"/>
      <c r="F196" s="81"/>
      <c r="G196" s="81"/>
      <c r="H196" s="81"/>
      <c r="I196" s="81"/>
      <c r="J196" s="81"/>
      <c r="K196" s="81"/>
      <c r="L196" s="81"/>
      <c r="M196" s="81"/>
      <c r="N196" s="81"/>
    </row>
    <row r="197" spans="5:14" x14ac:dyDescent="0.35">
      <c r="E197" s="81"/>
      <c r="F197" s="81"/>
      <c r="G197" s="81"/>
      <c r="H197" s="81"/>
      <c r="I197" s="81"/>
      <c r="J197" s="81"/>
      <c r="K197" s="81"/>
      <c r="L197" s="81"/>
      <c r="M197" s="81"/>
      <c r="N197" s="81"/>
    </row>
    <row r="198" spans="5:14" x14ac:dyDescent="0.35">
      <c r="E198" s="81"/>
      <c r="F198" s="81"/>
      <c r="G198" s="81"/>
      <c r="H198" s="81"/>
      <c r="I198" s="81"/>
      <c r="J198" s="81"/>
      <c r="K198" s="81"/>
      <c r="L198" s="81"/>
      <c r="M198" s="81"/>
      <c r="N198" s="81"/>
    </row>
    <row r="199" spans="5:14" x14ac:dyDescent="0.35">
      <c r="E199" s="81"/>
      <c r="F199" s="81"/>
      <c r="G199" s="81"/>
      <c r="H199" s="81"/>
      <c r="I199" s="81"/>
      <c r="J199" s="81"/>
      <c r="K199" s="81"/>
      <c r="L199" s="81"/>
      <c r="M199" s="81"/>
      <c r="N199" s="81"/>
    </row>
    <row r="200" spans="5:14" x14ac:dyDescent="0.35">
      <c r="E200" s="81"/>
      <c r="F200" s="81"/>
      <c r="G200" s="81"/>
      <c r="H200" s="81"/>
      <c r="I200" s="81"/>
      <c r="J200" s="81"/>
      <c r="K200" s="81"/>
      <c r="L200" s="81"/>
      <c r="M200" s="81"/>
      <c r="N200" s="81"/>
    </row>
  </sheetData>
  <mergeCells count="25">
    <mergeCell ref="A11:B12"/>
    <mergeCell ref="B18:B19"/>
    <mergeCell ref="C18:C19"/>
    <mergeCell ref="A23:C24"/>
    <mergeCell ref="E46:N47"/>
    <mergeCell ref="E25:N25"/>
    <mergeCell ref="E26:H27"/>
    <mergeCell ref="A18:A19"/>
    <mergeCell ref="J26:K26"/>
    <mergeCell ref="M26:N26"/>
    <mergeCell ref="E1:N1"/>
    <mergeCell ref="E2:H3"/>
    <mergeCell ref="J2:K2"/>
    <mergeCell ref="M2:N2"/>
    <mergeCell ref="E22:N23"/>
    <mergeCell ref="Y25:AH25"/>
    <mergeCell ref="O25:X25"/>
    <mergeCell ref="O26:R27"/>
    <mergeCell ref="T26:U26"/>
    <mergeCell ref="W26:X26"/>
    <mergeCell ref="O46:X47"/>
    <mergeCell ref="Y46:AH47"/>
    <mergeCell ref="Y26:AB27"/>
    <mergeCell ref="AD26:AE26"/>
    <mergeCell ref="AG26:AH2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4"/>
  <sheetViews>
    <sheetView zoomScale="90" zoomScaleNormal="90" workbookViewId="0">
      <selection activeCell="H38" sqref="H38"/>
    </sheetView>
  </sheetViews>
  <sheetFormatPr defaultColWidth="9.1796875" defaultRowHeight="14.5" x14ac:dyDescent="0.35"/>
  <cols>
    <col min="1" max="1" width="35.453125" style="81" bestFit="1" customWidth="1"/>
    <col min="2" max="5" width="13" style="81" customWidth="1"/>
    <col min="6" max="6" width="2.54296875" style="81" customWidth="1"/>
    <col min="7" max="7" width="35.453125" style="81" bestFit="1" customWidth="1"/>
    <col min="8" max="11" width="13" style="81" customWidth="1"/>
    <col min="12" max="12" width="3" style="81" customWidth="1"/>
    <col min="13" max="13" width="35.453125" style="81" bestFit="1" customWidth="1"/>
    <col min="14" max="17" width="13" style="81" customWidth="1"/>
    <col min="18" max="16384" width="9.1796875" style="81"/>
  </cols>
  <sheetData>
    <row r="1" spans="1:5" x14ac:dyDescent="0.35">
      <c r="A1" s="277" t="s">
        <v>86</v>
      </c>
      <c r="B1" s="278"/>
      <c r="C1" s="278"/>
      <c r="D1" s="278"/>
      <c r="E1" s="279"/>
    </row>
    <row r="2" spans="1:5" x14ac:dyDescent="0.35">
      <c r="A2" s="109" t="s">
        <v>90</v>
      </c>
      <c r="B2" s="124" t="s">
        <v>87</v>
      </c>
      <c r="C2" s="124" t="s">
        <v>70</v>
      </c>
      <c r="D2" s="124" t="s">
        <v>71</v>
      </c>
      <c r="E2" s="110" t="s">
        <v>72</v>
      </c>
    </row>
    <row r="3" spans="1:5" x14ac:dyDescent="0.35">
      <c r="A3" s="19" t="s">
        <v>89</v>
      </c>
      <c r="B3" s="125">
        <v>0</v>
      </c>
      <c r="C3" s="125">
        <f>'Cases Averted'!B18</f>
        <v>21.8</v>
      </c>
      <c r="D3" s="125">
        <f>'Cases Averted'!B17</f>
        <v>29.3</v>
      </c>
      <c r="E3" s="103">
        <f>'Cases Averted'!B19</f>
        <v>38.4</v>
      </c>
    </row>
    <row r="4" spans="1:5" x14ac:dyDescent="0.35">
      <c r="A4" s="19" t="s">
        <v>88</v>
      </c>
      <c r="B4" s="126">
        <f>'Cost Estimates (Reported Cases)'!B4</f>
        <v>265</v>
      </c>
      <c r="C4" s="126">
        <f>'Cost Estimates (Reported Cases)'!B12</f>
        <v>5777</v>
      </c>
      <c r="D4" s="126">
        <f>'Cost Estimates (Reported Cases)'!B13</f>
        <v>7764.5</v>
      </c>
      <c r="E4" s="104">
        <f>'Cost Estimates (Reported Cases)'!B14</f>
        <v>10176</v>
      </c>
    </row>
    <row r="5" spans="1:5" x14ac:dyDescent="0.35">
      <c r="A5" s="274" t="s">
        <v>94</v>
      </c>
      <c r="B5" s="275"/>
      <c r="C5" s="275"/>
      <c r="D5" s="275"/>
      <c r="E5" s="276"/>
    </row>
    <row r="6" spans="1:5" x14ac:dyDescent="0.35">
      <c r="A6" s="109" t="s">
        <v>90</v>
      </c>
      <c r="B6" s="124" t="s">
        <v>87</v>
      </c>
      <c r="C6" s="124" t="s">
        <v>70</v>
      </c>
      <c r="D6" s="124" t="s">
        <v>71</v>
      </c>
      <c r="E6" s="110" t="s">
        <v>72</v>
      </c>
    </row>
    <row r="7" spans="1:5" x14ac:dyDescent="0.35">
      <c r="A7" s="19" t="s">
        <v>91</v>
      </c>
      <c r="B7" s="127">
        <f>SUM('Cost Estimates (Reported Cases)'!K12:M12)</f>
        <v>1697906.5611408085</v>
      </c>
      <c r="C7" s="127">
        <f>SUM('Cost Estimates (Reported Cases)'!K36:M36)</f>
        <v>1901304.1270680055</v>
      </c>
      <c r="D7" s="127">
        <f>SUM('Cost Estimates (Reported Cases)'!U36:W36)</f>
        <v>1974644.5955513699</v>
      </c>
      <c r="E7" s="105">
        <f>SUM('Cost Estimates (Reported Cases)'!AE36:AG36)</f>
        <v>2063631.0306445188</v>
      </c>
    </row>
    <row r="8" spans="1:5" x14ac:dyDescent="0.35">
      <c r="A8" s="19" t="s">
        <v>92</v>
      </c>
      <c r="B8" s="128"/>
      <c r="C8" s="128"/>
      <c r="D8" s="128"/>
      <c r="E8" s="69"/>
    </row>
    <row r="9" spans="1:5" x14ac:dyDescent="0.35">
      <c r="A9" s="108" t="s">
        <v>96</v>
      </c>
      <c r="B9" s="129">
        <f>SUM('Cost Estimates (Reported Cases)'!J17:M17)</f>
        <v>316.4818093362</v>
      </c>
      <c r="C9" s="129">
        <f>SUM('Cost Estimates (Reported Cases)'!J41:M41)</f>
        <v>1748.6248745826001</v>
      </c>
      <c r="D9" s="129">
        <f>SUM('Cost Estimates (Reported Cases)'!T41:W41)</f>
        <v>2265.0226144551002</v>
      </c>
      <c r="E9" s="111">
        <f>SUM('Cost Estimates (Reported Cases)'!AD41:AG41)</f>
        <v>2891.5852055004007</v>
      </c>
    </row>
    <row r="10" spans="1:5" x14ac:dyDescent="0.35">
      <c r="A10" s="108" t="s">
        <v>93</v>
      </c>
      <c r="B10" s="127">
        <f>SUM('Cost Estimates (Reported Cases)'!J16:M16)</f>
        <v>89242.286624234141</v>
      </c>
      <c r="C10" s="127">
        <f>SUM('Cost Estimates (Reported Cases)'!J40:M40)</f>
        <v>482366.31622992601</v>
      </c>
      <c r="D10" s="127">
        <f>SUM('Cost Estimates (Reported Cases)'!T40:W40)</f>
        <v>624117.76921274769</v>
      </c>
      <c r="E10" s="105">
        <f>SUM('Cost Estimates (Reported Cases)'!AD40:AG40)</f>
        <v>796109.53216523794</v>
      </c>
    </row>
    <row r="11" spans="1:5" ht="15" thickBot="1" x14ac:dyDescent="0.4">
      <c r="A11" s="20" t="s">
        <v>113</v>
      </c>
      <c r="B11" s="106">
        <f>SUM(B7,B10)</f>
        <v>1787148.8477650427</v>
      </c>
      <c r="C11" s="106">
        <f t="shared" ref="C11:E11" si="0">SUM(C7,C10)</f>
        <v>2383670.4432979315</v>
      </c>
      <c r="D11" s="106">
        <f t="shared" si="0"/>
        <v>2598762.3647641176</v>
      </c>
      <c r="E11" s="107">
        <f t="shared" si="0"/>
        <v>2859740.562809757</v>
      </c>
    </row>
    <row r="12" spans="1:5" ht="15" thickBot="1" x14ac:dyDescent="0.4"/>
    <row r="13" spans="1:5" x14ac:dyDescent="0.35">
      <c r="A13" s="277" t="s">
        <v>100</v>
      </c>
      <c r="B13" s="278"/>
      <c r="C13" s="278"/>
      <c r="D13" s="278"/>
      <c r="E13" s="279"/>
    </row>
    <row r="14" spans="1:5" x14ac:dyDescent="0.35">
      <c r="A14" s="109" t="s">
        <v>90</v>
      </c>
      <c r="B14" s="124" t="s">
        <v>87</v>
      </c>
      <c r="C14" s="124" t="s">
        <v>70</v>
      </c>
      <c r="D14" s="124" t="s">
        <v>71</v>
      </c>
      <c r="E14" s="110" t="s">
        <v>72</v>
      </c>
    </row>
    <row r="15" spans="1:5" x14ac:dyDescent="0.35">
      <c r="A15" s="19" t="s">
        <v>89</v>
      </c>
      <c r="B15" s="125">
        <f>$B$3</f>
        <v>0</v>
      </c>
      <c r="C15" s="125">
        <f>$C$3</f>
        <v>21.8</v>
      </c>
      <c r="D15" s="125">
        <f>$D$3</f>
        <v>29.3</v>
      </c>
      <c r="E15" s="103">
        <f>$E$3</f>
        <v>38.4</v>
      </c>
    </row>
    <row r="16" spans="1:5" x14ac:dyDescent="0.35">
      <c r="A16" s="19" t="s">
        <v>95</v>
      </c>
      <c r="B16" s="126">
        <f>'Cases Averted'!G7</f>
        <v>93.888597124663562</v>
      </c>
      <c r="C16" s="126">
        <f>'Cases Averted'!F13</f>
        <v>2046.7714173176657</v>
      </c>
      <c r="D16" s="126">
        <f>'Cases Averted'!F14</f>
        <v>2750.9358957526424</v>
      </c>
      <c r="E16" s="104">
        <f>'Cases Averted'!F15</f>
        <v>3605.3221295870808</v>
      </c>
    </row>
    <row r="17" spans="1:5" x14ac:dyDescent="0.35">
      <c r="A17" s="274" t="s">
        <v>98</v>
      </c>
      <c r="B17" s="275"/>
      <c r="C17" s="275"/>
      <c r="D17" s="275"/>
      <c r="E17" s="276"/>
    </row>
    <row r="18" spans="1:5" x14ac:dyDescent="0.35">
      <c r="A18" s="109" t="s">
        <v>90</v>
      </c>
      <c r="B18" s="124" t="s">
        <v>87</v>
      </c>
      <c r="C18" s="124" t="s">
        <v>70</v>
      </c>
      <c r="D18" s="124" t="s">
        <v>71</v>
      </c>
      <c r="E18" s="110" t="s">
        <v>72</v>
      </c>
    </row>
    <row r="19" spans="1:5" x14ac:dyDescent="0.35">
      <c r="A19" s="19" t="s">
        <v>91</v>
      </c>
      <c r="B19" s="127">
        <f>SUM('Cost Estimates (Averted Cases)'!K12:M12)</f>
        <v>601562.50971423509</v>
      </c>
      <c r="C19" s="127">
        <f>SUM('Cost Estimates (Averted Cases)'!K36:M36)</f>
        <v>673625.5743311249</v>
      </c>
      <c r="D19" s="127">
        <f>SUM('Cost Estimates (Averted Cases)'!U36:W36)</f>
        <v>699609.85243817652</v>
      </c>
      <c r="E19" s="105">
        <f>SUM('Cost Estimates (Averted Cases)'!AE36:AG36)</f>
        <v>731137.44320806582</v>
      </c>
    </row>
    <row r="20" spans="1:5" x14ac:dyDescent="0.35">
      <c r="A20" s="19" t="s">
        <v>92</v>
      </c>
      <c r="B20" s="128"/>
      <c r="C20" s="128"/>
      <c r="D20" s="128"/>
      <c r="E20" s="69"/>
    </row>
    <row r="21" spans="1:5" x14ac:dyDescent="0.35">
      <c r="A21" s="108" t="s">
        <v>96</v>
      </c>
      <c r="B21" s="129">
        <f>SUM('Cost Estimates (Averted Cases)'!J17:M17)</f>
        <v>112.12842677000403</v>
      </c>
      <c r="C21" s="129">
        <f>SUM('Cost Estimates (Averted Cases)'!J41:M41)</f>
        <v>619.5318353654759</v>
      </c>
      <c r="D21" s="129">
        <f>SUM('Cost Estimates (Averted Cases)'!T41:W41)</f>
        <v>802.48979519557383</v>
      </c>
      <c r="E21" s="111">
        <f>SUM('Cost Estimates (Averted Cases)'!AD41:AG41)</f>
        <v>1024.4787864560926</v>
      </c>
    </row>
    <row r="22" spans="1:5" x14ac:dyDescent="0.35">
      <c r="A22" s="108" t="s">
        <v>93</v>
      </c>
      <c r="B22" s="127">
        <f>SUM('Cost Estimates (Averted Cases)'!J16:M16)</f>
        <v>31618.238095647059</v>
      </c>
      <c r="C22" s="127">
        <f>SUM('Cost Estimates (Averted Cases)'!J40:M40)</f>
        <v>170900.74238120602</v>
      </c>
      <c r="D22" s="127">
        <f>SUM('Cost Estimates (Averted Cases)'!T40:W40)</f>
        <v>221122.79921494116</v>
      </c>
      <c r="E22" s="105">
        <f>SUM('Cost Estimates (Averted Cases)'!AD40:AG40)</f>
        <v>282058.89483987325</v>
      </c>
    </row>
    <row r="23" spans="1:5" ht="15" thickBot="1" x14ac:dyDescent="0.4">
      <c r="A23" s="20" t="s">
        <v>113</v>
      </c>
      <c r="B23" s="106">
        <f>SUM(B19,B22)</f>
        <v>633180.74780988216</v>
      </c>
      <c r="C23" s="106">
        <f t="shared" ref="C23:E23" si="1">SUM(C19,C22)</f>
        <v>844526.31671233091</v>
      </c>
      <c r="D23" s="106">
        <f t="shared" si="1"/>
        <v>920732.65165311773</v>
      </c>
      <c r="E23" s="107">
        <f t="shared" si="1"/>
        <v>1013196.3380479391</v>
      </c>
    </row>
    <row r="24" spans="1:5" x14ac:dyDescent="0.35">
      <c r="A24" s="205" t="s">
        <v>114</v>
      </c>
    </row>
  </sheetData>
  <mergeCells count="4">
    <mergeCell ref="A5:E5"/>
    <mergeCell ref="A1:E1"/>
    <mergeCell ref="A13:E13"/>
    <mergeCell ref="A17:E1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O49"/>
  <sheetViews>
    <sheetView zoomScale="85" zoomScaleNormal="85" workbookViewId="0">
      <selection sqref="A1:J2"/>
    </sheetView>
  </sheetViews>
  <sheetFormatPr defaultColWidth="9.1796875" defaultRowHeight="14.5" x14ac:dyDescent="0.35"/>
  <cols>
    <col min="1" max="1" width="3.81640625" style="81" customWidth="1"/>
    <col min="2" max="2" width="4.54296875" style="81" customWidth="1"/>
    <col min="3" max="3" width="3.7265625" style="81" customWidth="1"/>
    <col min="4" max="4" width="29.26953125" style="81" customWidth="1"/>
    <col min="5" max="5" width="13.7265625" style="81" customWidth="1"/>
    <col min="6" max="6" width="12.453125" style="81" customWidth="1"/>
    <col min="7" max="7" width="10.26953125" style="81" customWidth="1"/>
    <col min="8" max="8" width="13.54296875" style="81" customWidth="1"/>
    <col min="9" max="9" width="14.7265625" style="81" customWidth="1"/>
    <col min="10" max="10" width="12.7265625" style="81" customWidth="1"/>
    <col min="11" max="11" width="16.1796875" style="81" customWidth="1"/>
    <col min="12" max="12" width="12.26953125" style="81" customWidth="1"/>
    <col min="13" max="13" width="13.1796875" style="81" customWidth="1"/>
    <col min="14" max="14" width="14.26953125" style="81" customWidth="1"/>
    <col min="15" max="15" width="12.7265625" style="81" customWidth="1"/>
    <col min="16" max="21" width="17.7265625" style="81" customWidth="1"/>
    <col min="22" max="16384" width="9.1796875" style="81"/>
  </cols>
  <sheetData>
    <row r="1" spans="1:15" x14ac:dyDescent="0.35">
      <c r="A1" s="280" t="s">
        <v>108</v>
      </c>
      <c r="B1" s="280"/>
      <c r="C1" s="280"/>
      <c r="D1" s="280"/>
      <c r="E1" s="280"/>
      <c r="F1" s="280"/>
      <c r="G1" s="280"/>
      <c r="H1" s="280"/>
      <c r="I1" s="280"/>
      <c r="J1" s="280"/>
    </row>
    <row r="2" spans="1:15" x14ac:dyDescent="0.35">
      <c r="A2" s="280"/>
      <c r="B2" s="280"/>
      <c r="C2" s="280"/>
      <c r="D2" s="280"/>
      <c r="E2" s="280"/>
      <c r="F2" s="280"/>
      <c r="G2" s="280"/>
      <c r="H2" s="280"/>
      <c r="I2" s="280"/>
      <c r="J2" s="280"/>
    </row>
    <row r="3" spans="1:15" x14ac:dyDescent="0.35">
      <c r="A3" s="135"/>
      <c r="B3" s="136"/>
      <c r="C3" s="136"/>
      <c r="D3" s="136"/>
      <c r="E3" s="137" t="s">
        <v>101</v>
      </c>
      <c r="F3" s="137"/>
      <c r="G3" s="137"/>
      <c r="H3" s="137"/>
      <c r="I3" s="137"/>
      <c r="J3" s="137"/>
    </row>
    <row r="4" spans="1:15" x14ac:dyDescent="0.35">
      <c r="A4" s="137"/>
      <c r="B4" s="136"/>
      <c r="C4" s="136"/>
      <c r="D4" s="136"/>
      <c r="E4" s="137"/>
      <c r="F4" s="137"/>
      <c r="G4" s="137"/>
      <c r="H4" s="137"/>
      <c r="I4" s="137"/>
      <c r="J4" s="137"/>
    </row>
    <row r="5" spans="1:15" x14ac:dyDescent="0.35">
      <c r="A5" s="137"/>
      <c r="B5" s="136"/>
      <c r="C5" s="136"/>
      <c r="D5" s="136"/>
      <c r="E5" s="138"/>
      <c r="F5" s="282" t="s">
        <v>26</v>
      </c>
      <c r="G5" s="283"/>
      <c r="H5" s="139" t="s">
        <v>27</v>
      </c>
      <c r="I5" s="282" t="s">
        <v>28</v>
      </c>
      <c r="J5" s="283"/>
    </row>
    <row r="6" spans="1:15" ht="43.5" x14ac:dyDescent="0.35">
      <c r="A6" s="140" t="s">
        <v>29</v>
      </c>
      <c r="B6" s="136"/>
      <c r="C6" s="136"/>
      <c r="D6" s="136"/>
      <c r="E6" s="141" t="s">
        <v>30</v>
      </c>
      <c r="F6" s="142" t="s">
        <v>31</v>
      </c>
      <c r="G6" s="143" t="s">
        <v>32</v>
      </c>
      <c r="H6" s="144" t="s">
        <v>27</v>
      </c>
      <c r="I6" s="143" t="s">
        <v>33</v>
      </c>
      <c r="J6" s="145" t="s">
        <v>34</v>
      </c>
    </row>
    <row r="7" spans="1:15" x14ac:dyDescent="0.35">
      <c r="A7" s="137"/>
      <c r="B7" s="136"/>
      <c r="C7" s="136"/>
      <c r="D7" s="136"/>
      <c r="E7" s="146"/>
      <c r="F7" s="147"/>
      <c r="G7" s="136"/>
      <c r="H7" s="148"/>
      <c r="I7" s="136"/>
      <c r="J7" s="136"/>
      <c r="K7" s="130"/>
    </row>
    <row r="8" spans="1:15" x14ac:dyDescent="0.35">
      <c r="A8" s="149" t="s">
        <v>37</v>
      </c>
      <c r="B8" s="150"/>
      <c r="C8" s="150"/>
      <c r="D8" s="150"/>
      <c r="E8" s="151"/>
      <c r="F8" s="151"/>
      <c r="G8" s="150"/>
      <c r="H8" s="152"/>
      <c r="I8" s="150"/>
      <c r="J8" s="150"/>
      <c r="K8" s="130"/>
    </row>
    <row r="9" spans="1:15" x14ac:dyDescent="0.35">
      <c r="A9" s="149"/>
      <c r="B9" s="150"/>
      <c r="C9" s="150" t="s">
        <v>44</v>
      </c>
      <c r="D9" s="150"/>
      <c r="E9" s="153">
        <v>644786</v>
      </c>
      <c r="F9" s="153">
        <v>589816.40799999994</v>
      </c>
      <c r="G9" s="154">
        <v>46424.592000000004</v>
      </c>
      <c r="H9" s="155">
        <v>8545</v>
      </c>
      <c r="I9" s="154">
        <v>8545</v>
      </c>
      <c r="J9" s="154">
        <v>0</v>
      </c>
      <c r="K9" s="131"/>
      <c r="L9" s="132"/>
      <c r="M9" s="132"/>
      <c r="N9" s="132"/>
      <c r="O9" s="132"/>
    </row>
    <row r="10" spans="1:15" x14ac:dyDescent="0.35">
      <c r="A10" s="149"/>
      <c r="B10" s="150"/>
      <c r="C10" s="150" t="s">
        <v>45</v>
      </c>
      <c r="D10" s="150"/>
      <c r="E10" s="153">
        <v>1027561</v>
      </c>
      <c r="F10" s="153">
        <v>934240.60800000001</v>
      </c>
      <c r="G10" s="154">
        <v>73984.392000000007</v>
      </c>
      <c r="H10" s="155">
        <v>19336</v>
      </c>
      <c r="I10" s="154">
        <v>18957.999999999996</v>
      </c>
      <c r="J10" s="154">
        <v>378</v>
      </c>
      <c r="K10" s="131"/>
      <c r="L10" s="132"/>
      <c r="M10" s="132"/>
      <c r="N10" s="132"/>
      <c r="O10" s="132"/>
    </row>
    <row r="11" spans="1:15" x14ac:dyDescent="0.35">
      <c r="A11" s="149"/>
      <c r="B11" s="150"/>
      <c r="C11" s="150" t="s">
        <v>46</v>
      </c>
      <c r="D11" s="150"/>
      <c r="E11" s="153">
        <v>1679667</v>
      </c>
      <c r="F11" s="153">
        <v>1521240.976</v>
      </c>
      <c r="G11" s="154">
        <v>120936.024</v>
      </c>
      <c r="H11" s="155">
        <v>37490.000000000007</v>
      </c>
      <c r="I11" s="154">
        <v>36479.000000000007</v>
      </c>
      <c r="J11" s="154">
        <v>1011</v>
      </c>
      <c r="K11" s="131"/>
      <c r="L11" s="132"/>
      <c r="M11" s="132"/>
      <c r="N11" s="132"/>
      <c r="O11" s="132"/>
    </row>
    <row r="12" spans="1:15" x14ac:dyDescent="0.35">
      <c r="A12" s="137"/>
      <c r="B12" s="136"/>
      <c r="C12" s="136"/>
      <c r="D12" s="136"/>
      <c r="E12" s="147"/>
      <c r="F12" s="147"/>
      <c r="G12" s="136"/>
      <c r="H12" s="147"/>
      <c r="I12" s="156"/>
      <c r="J12" s="136"/>
      <c r="K12" s="130"/>
    </row>
    <row r="13" spans="1:15" x14ac:dyDescent="0.35">
      <c r="A13" s="157" t="s">
        <v>47</v>
      </c>
      <c r="B13" s="158"/>
      <c r="C13" s="158"/>
      <c r="D13" s="158"/>
      <c r="E13" s="146"/>
      <c r="F13" s="146"/>
      <c r="G13" s="158"/>
      <c r="H13" s="148"/>
      <c r="I13" s="158"/>
      <c r="J13" s="158"/>
      <c r="K13" s="130"/>
    </row>
    <row r="14" spans="1:15" x14ac:dyDescent="0.35">
      <c r="A14" s="137"/>
      <c r="B14" s="136"/>
      <c r="C14" s="136"/>
      <c r="D14" s="136"/>
      <c r="E14" s="147"/>
      <c r="F14" s="147"/>
      <c r="G14" s="136"/>
      <c r="H14" s="147"/>
      <c r="I14" s="147"/>
      <c r="J14" s="136"/>
      <c r="K14" s="130"/>
    </row>
    <row r="15" spans="1:15" x14ac:dyDescent="0.35">
      <c r="A15" s="137" t="s">
        <v>38</v>
      </c>
      <c r="B15" s="136"/>
      <c r="C15" s="136"/>
      <c r="D15" s="136"/>
      <c r="E15" s="147"/>
      <c r="F15" s="147"/>
      <c r="G15" s="136"/>
      <c r="H15" s="159"/>
      <c r="I15" s="136"/>
      <c r="J15" s="136"/>
      <c r="K15" s="130"/>
    </row>
    <row r="16" spans="1:15" x14ac:dyDescent="0.35">
      <c r="A16" s="137"/>
      <c r="B16" s="136" t="s">
        <v>22</v>
      </c>
      <c r="C16" s="136"/>
      <c r="D16" s="136"/>
      <c r="E16" s="147"/>
      <c r="F16" s="147"/>
      <c r="G16" s="136"/>
      <c r="H16" s="159"/>
      <c r="I16" s="136"/>
      <c r="J16" s="136"/>
      <c r="K16" s="130"/>
    </row>
    <row r="17" spans="1:15" x14ac:dyDescent="0.35">
      <c r="A17" s="137"/>
      <c r="B17" s="136"/>
      <c r="C17" s="136" t="s">
        <v>48</v>
      </c>
      <c r="D17" s="136"/>
      <c r="E17" s="160"/>
      <c r="F17" s="147">
        <v>0</v>
      </c>
      <c r="G17" s="136">
        <v>1.4</v>
      </c>
      <c r="H17" s="159">
        <v>0.7</v>
      </c>
      <c r="I17" s="136">
        <v>1</v>
      </c>
      <c r="J17" s="136"/>
      <c r="K17" s="131"/>
      <c r="L17" s="132"/>
      <c r="M17" s="132"/>
      <c r="N17" s="132"/>
      <c r="O17" s="132"/>
    </row>
    <row r="18" spans="1:15" x14ac:dyDescent="0.35">
      <c r="A18" s="137"/>
      <c r="B18" s="136"/>
      <c r="C18" s="136" t="s">
        <v>49</v>
      </c>
      <c r="D18" s="136"/>
      <c r="E18" s="160"/>
      <c r="F18" s="161">
        <v>146.05000000000001</v>
      </c>
      <c r="G18" s="162">
        <v>146.05000000000001</v>
      </c>
      <c r="H18" s="161">
        <v>146.05000000000001</v>
      </c>
      <c r="I18" s="161">
        <v>146.05000000000001</v>
      </c>
      <c r="J18" s="163">
        <v>0</v>
      </c>
      <c r="K18" s="131"/>
      <c r="L18" s="132"/>
      <c r="M18" s="132"/>
      <c r="N18" s="132"/>
      <c r="O18" s="132"/>
    </row>
    <row r="19" spans="1:15" x14ac:dyDescent="0.35">
      <c r="A19" s="137"/>
      <c r="B19" s="136" t="s">
        <v>23</v>
      </c>
      <c r="C19" s="136"/>
      <c r="D19" s="136"/>
      <c r="E19" s="147"/>
      <c r="F19" s="147"/>
      <c r="G19" s="136"/>
      <c r="H19" s="159"/>
      <c r="I19" s="136"/>
      <c r="J19" s="136"/>
      <c r="K19" s="131"/>
      <c r="L19" s="132"/>
      <c r="M19" s="132"/>
      <c r="N19" s="132"/>
      <c r="O19" s="132"/>
    </row>
    <row r="20" spans="1:15" x14ac:dyDescent="0.35">
      <c r="A20" s="137"/>
      <c r="B20" s="136"/>
      <c r="C20" s="136" t="s">
        <v>48</v>
      </c>
      <c r="D20" s="136"/>
      <c r="E20" s="160"/>
      <c r="F20" s="147">
        <v>0</v>
      </c>
      <c r="G20" s="136">
        <v>0.1</v>
      </c>
      <c r="H20" s="159">
        <v>0.3</v>
      </c>
      <c r="I20" s="136">
        <v>0</v>
      </c>
      <c r="J20" s="136"/>
      <c r="K20" s="131"/>
      <c r="L20" s="132"/>
      <c r="M20" s="132"/>
      <c r="N20" s="132"/>
      <c r="O20" s="132"/>
    </row>
    <row r="21" spans="1:15" x14ac:dyDescent="0.35">
      <c r="A21" s="137"/>
      <c r="B21" s="136"/>
      <c r="C21" s="136" t="s">
        <v>49</v>
      </c>
      <c r="D21" s="136"/>
      <c r="E21" s="160"/>
      <c r="F21" s="161">
        <v>572.93437185783</v>
      </c>
      <c r="G21" s="163">
        <v>572.93437185783</v>
      </c>
      <c r="H21" s="164">
        <v>572.93437185783</v>
      </c>
      <c r="I21" s="163">
        <v>572.93437185783</v>
      </c>
      <c r="J21" s="136"/>
      <c r="K21" s="131"/>
      <c r="L21" s="132"/>
      <c r="M21" s="132"/>
      <c r="N21" s="132"/>
      <c r="O21" s="132"/>
    </row>
    <row r="22" spans="1:15" x14ac:dyDescent="0.35">
      <c r="A22" s="137"/>
      <c r="B22" s="136" t="s">
        <v>24</v>
      </c>
      <c r="C22" s="136"/>
      <c r="D22" s="136"/>
      <c r="E22" s="147"/>
      <c r="F22" s="147"/>
      <c r="G22" s="136"/>
      <c r="H22" s="159"/>
      <c r="I22" s="136"/>
      <c r="J22" s="136"/>
      <c r="K22" s="131"/>
      <c r="L22" s="132"/>
      <c r="M22" s="132"/>
      <c r="N22" s="132"/>
      <c r="O22" s="132"/>
    </row>
    <row r="23" spans="1:15" x14ac:dyDescent="0.35">
      <c r="A23" s="137"/>
      <c r="B23" s="136"/>
      <c r="C23" s="136" t="s">
        <v>48</v>
      </c>
      <c r="D23" s="136"/>
      <c r="E23" s="160"/>
      <c r="F23" s="147">
        <v>0</v>
      </c>
      <c r="G23" s="136">
        <v>0.3</v>
      </c>
      <c r="H23" s="159">
        <v>0.2</v>
      </c>
      <c r="I23" s="136">
        <v>0</v>
      </c>
      <c r="J23" s="136"/>
      <c r="K23" s="131"/>
      <c r="L23" s="132"/>
      <c r="M23" s="132"/>
      <c r="N23" s="132"/>
      <c r="O23" s="132"/>
    </row>
    <row r="24" spans="1:15" x14ac:dyDescent="0.35">
      <c r="A24" s="137"/>
      <c r="B24" s="136"/>
      <c r="C24" s="136" t="s">
        <v>49</v>
      </c>
      <c r="D24" s="136"/>
      <c r="E24" s="160"/>
      <c r="F24" s="161">
        <v>805.53</v>
      </c>
      <c r="G24" s="165">
        <v>805.53</v>
      </c>
      <c r="H24" s="161">
        <v>805.53</v>
      </c>
      <c r="I24" s="161">
        <v>805.53</v>
      </c>
      <c r="J24" s="163">
        <v>0</v>
      </c>
      <c r="K24" s="131"/>
      <c r="L24" s="132"/>
      <c r="M24" s="132"/>
      <c r="N24" s="132"/>
      <c r="O24" s="132"/>
    </row>
    <row r="25" spans="1:15" x14ac:dyDescent="0.35">
      <c r="A25" s="137"/>
      <c r="B25" s="136" t="s">
        <v>12</v>
      </c>
      <c r="C25" s="136"/>
      <c r="D25" s="136"/>
      <c r="E25" s="147"/>
      <c r="F25" s="147"/>
      <c r="G25" s="136"/>
      <c r="H25" s="159"/>
      <c r="I25" s="136"/>
      <c r="J25" s="136"/>
      <c r="K25" s="131"/>
      <c r="L25" s="132"/>
      <c r="M25" s="132"/>
      <c r="N25" s="132"/>
      <c r="O25" s="132"/>
    </row>
    <row r="26" spans="1:15" x14ac:dyDescent="0.35">
      <c r="A26" s="137"/>
      <c r="B26" s="136"/>
      <c r="C26" s="136" t="s">
        <v>50</v>
      </c>
      <c r="D26" s="136"/>
      <c r="E26" s="160"/>
      <c r="F26" s="147">
        <v>0</v>
      </c>
      <c r="G26" s="136">
        <v>0</v>
      </c>
      <c r="H26" s="159">
        <v>1</v>
      </c>
      <c r="I26" s="136">
        <v>0</v>
      </c>
      <c r="J26" s="136"/>
      <c r="K26" s="131"/>
      <c r="L26" s="132"/>
      <c r="M26" s="132"/>
      <c r="N26" s="132"/>
      <c r="O26" s="132"/>
    </row>
    <row r="27" spans="1:15" x14ac:dyDescent="0.35">
      <c r="A27" s="137"/>
      <c r="B27" s="136"/>
      <c r="C27" s="136" t="s">
        <v>51</v>
      </c>
      <c r="D27" s="136"/>
      <c r="E27" s="160"/>
      <c r="F27" s="161">
        <v>17415.990000000002</v>
      </c>
      <c r="G27" s="165">
        <v>17415.990000000002</v>
      </c>
      <c r="H27" s="161">
        <v>17415.990000000002</v>
      </c>
      <c r="I27" s="161">
        <v>17415.990000000002</v>
      </c>
      <c r="J27" s="163">
        <v>0</v>
      </c>
      <c r="K27" s="131"/>
      <c r="L27" s="132"/>
      <c r="M27" s="132"/>
      <c r="N27" s="132"/>
      <c r="O27" s="132"/>
    </row>
    <row r="28" spans="1:15" x14ac:dyDescent="0.35">
      <c r="A28" s="137"/>
      <c r="B28" s="136"/>
      <c r="C28" s="136"/>
      <c r="D28" s="136"/>
      <c r="E28" s="160"/>
      <c r="F28" s="161"/>
      <c r="G28" s="163"/>
      <c r="H28" s="164"/>
      <c r="I28" s="163"/>
      <c r="J28" s="163"/>
      <c r="K28" s="131"/>
      <c r="L28" s="132"/>
      <c r="M28" s="132"/>
      <c r="N28" s="132"/>
      <c r="O28" s="132"/>
    </row>
    <row r="29" spans="1:15" x14ac:dyDescent="0.35">
      <c r="A29" s="137"/>
      <c r="B29" s="136"/>
      <c r="C29" s="137" t="s">
        <v>52</v>
      </c>
      <c r="D29" s="166"/>
      <c r="E29" s="167"/>
      <c r="F29" s="161">
        <f t="shared" ref="F29:I29" si="0">F17*F18+F20*F21+F23*F24+F26*F27</f>
        <v>0</v>
      </c>
      <c r="G29" s="163">
        <f t="shared" si="0"/>
        <v>503.422437185783</v>
      </c>
      <c r="H29" s="164">
        <f t="shared" si="0"/>
        <v>17851.211311557352</v>
      </c>
      <c r="I29" s="163">
        <f t="shared" si="0"/>
        <v>146.05000000000001</v>
      </c>
      <c r="J29" s="136"/>
      <c r="K29" s="131"/>
      <c r="L29" s="132"/>
      <c r="M29" s="132"/>
      <c r="N29" s="132"/>
      <c r="O29" s="132"/>
    </row>
    <row r="30" spans="1:15" x14ac:dyDescent="0.35">
      <c r="A30" s="137"/>
      <c r="B30" s="136"/>
      <c r="C30" s="136"/>
      <c r="D30" s="136"/>
      <c r="E30" s="160"/>
      <c r="F30" s="147"/>
      <c r="G30" s="136"/>
      <c r="H30" s="159"/>
      <c r="I30" s="136"/>
      <c r="J30" s="136"/>
      <c r="K30" s="131"/>
      <c r="L30" s="132"/>
      <c r="M30" s="132"/>
      <c r="N30" s="132"/>
      <c r="O30" s="132"/>
    </row>
    <row r="31" spans="1:15" x14ac:dyDescent="0.35">
      <c r="A31" s="137" t="s">
        <v>40</v>
      </c>
      <c r="B31" s="158"/>
      <c r="C31" s="158"/>
      <c r="D31" s="158"/>
      <c r="E31" s="146"/>
      <c r="F31" s="146"/>
      <c r="G31" s="158"/>
      <c r="H31" s="148"/>
      <c r="I31" s="158"/>
      <c r="J31" s="158"/>
      <c r="K31" s="131"/>
      <c r="L31" s="132"/>
      <c r="M31" s="132"/>
      <c r="N31" s="132"/>
      <c r="O31" s="132"/>
    </row>
    <row r="32" spans="1:15" x14ac:dyDescent="0.35">
      <c r="A32" s="137"/>
      <c r="B32" s="136"/>
      <c r="C32" s="136" t="s">
        <v>53</v>
      </c>
      <c r="D32" s="136"/>
      <c r="E32" s="147"/>
      <c r="F32" s="168">
        <v>0.44459599999999999</v>
      </c>
      <c r="G32" s="169">
        <v>0.458895</v>
      </c>
      <c r="H32" s="170">
        <v>0.43029200000000001</v>
      </c>
      <c r="I32" s="169">
        <v>0.43029200000000001</v>
      </c>
      <c r="J32" s="136"/>
      <c r="K32" s="131"/>
      <c r="L32" s="132"/>
      <c r="M32" s="132"/>
      <c r="N32" s="132"/>
      <c r="O32" s="132"/>
    </row>
    <row r="33" spans="1:15" x14ac:dyDescent="0.35">
      <c r="A33" s="137"/>
      <c r="B33" s="136"/>
      <c r="C33" s="136" t="s">
        <v>54</v>
      </c>
      <c r="D33" s="136"/>
      <c r="E33" s="147"/>
      <c r="F33" s="147">
        <v>0.5</v>
      </c>
      <c r="G33" s="136">
        <v>1.6</v>
      </c>
      <c r="H33" s="159">
        <v>4.5</v>
      </c>
      <c r="I33" s="136">
        <v>2.25</v>
      </c>
      <c r="J33" s="136"/>
      <c r="K33" s="131"/>
      <c r="L33" s="132"/>
      <c r="M33" s="132"/>
      <c r="N33" s="132"/>
      <c r="O33" s="132"/>
    </row>
    <row r="34" spans="1:15" x14ac:dyDescent="0.35">
      <c r="A34" s="137"/>
      <c r="B34" s="136"/>
      <c r="C34" s="136" t="s">
        <v>55</v>
      </c>
      <c r="D34" s="136"/>
      <c r="E34" s="147"/>
      <c r="F34" s="161">
        <v>274.0980679070791</v>
      </c>
      <c r="G34" s="163">
        <v>276.04102970025423</v>
      </c>
      <c r="H34" s="164">
        <v>283.20423823894805</v>
      </c>
      <c r="I34" s="163">
        <v>283.20423823894805</v>
      </c>
      <c r="J34" s="136"/>
      <c r="K34" s="131"/>
      <c r="L34" s="132"/>
      <c r="M34" s="132"/>
      <c r="N34" s="132"/>
      <c r="O34" s="132"/>
    </row>
    <row r="35" spans="1:15" x14ac:dyDescent="0.35">
      <c r="A35" s="137"/>
      <c r="B35" s="136"/>
      <c r="C35" s="136"/>
      <c r="D35" s="136"/>
      <c r="E35" s="160"/>
      <c r="F35" s="147"/>
      <c r="G35" s="136"/>
      <c r="H35" s="159"/>
      <c r="I35" s="136"/>
      <c r="J35" s="136"/>
      <c r="K35" s="131"/>
      <c r="L35" s="132"/>
      <c r="M35" s="132"/>
      <c r="N35" s="132"/>
      <c r="O35" s="132"/>
    </row>
    <row r="36" spans="1:15" x14ac:dyDescent="0.35">
      <c r="A36" s="137"/>
      <c r="B36" s="136"/>
      <c r="C36" s="137" t="s">
        <v>56</v>
      </c>
      <c r="D36" s="136"/>
      <c r="E36" s="160"/>
      <c r="F36" s="161">
        <f>F32*F33*F34</f>
        <v>60.931452299607869</v>
      </c>
      <c r="G36" s="163">
        <f t="shared" ref="G36:I36" si="1">G32*G33*G34</f>
        <v>202.67815731887706</v>
      </c>
      <c r="H36" s="164">
        <f t="shared" si="1"/>
        <v>548.37233136141049</v>
      </c>
      <c r="I36" s="163">
        <f t="shared" si="1"/>
        <v>274.18616568070524</v>
      </c>
      <c r="J36" s="136"/>
      <c r="K36" s="131"/>
      <c r="L36" s="132"/>
      <c r="M36" s="132"/>
      <c r="N36" s="132"/>
      <c r="O36" s="132"/>
    </row>
    <row r="37" spans="1:15" x14ac:dyDescent="0.35">
      <c r="A37" s="137"/>
      <c r="B37" s="136"/>
      <c r="C37" s="136"/>
      <c r="D37" s="136"/>
      <c r="E37" s="160"/>
      <c r="F37" s="147"/>
      <c r="G37" s="136"/>
      <c r="H37" s="159"/>
      <c r="I37" s="136"/>
      <c r="J37" s="136"/>
      <c r="K37" s="131"/>
      <c r="L37" s="132"/>
      <c r="M37" s="132"/>
      <c r="N37" s="132"/>
      <c r="O37" s="132"/>
    </row>
    <row r="38" spans="1:15" x14ac:dyDescent="0.35">
      <c r="A38" s="157" t="s">
        <v>39</v>
      </c>
      <c r="B38" s="158"/>
      <c r="C38" s="158"/>
      <c r="D38" s="158"/>
      <c r="E38" s="146"/>
      <c r="F38" s="146"/>
      <c r="G38" s="158"/>
      <c r="H38" s="148"/>
      <c r="I38" s="158"/>
      <c r="J38" s="158"/>
      <c r="K38" s="131"/>
      <c r="L38" s="132"/>
      <c r="M38" s="132"/>
      <c r="N38" s="132"/>
      <c r="O38" s="132"/>
    </row>
    <row r="39" spans="1:15" x14ac:dyDescent="0.35">
      <c r="A39" s="136"/>
      <c r="B39" s="136"/>
      <c r="C39" s="136" t="s">
        <v>57</v>
      </c>
      <c r="D39" s="136"/>
      <c r="E39" s="160"/>
      <c r="F39" s="147"/>
      <c r="G39" s="136"/>
      <c r="H39" s="159"/>
      <c r="I39" s="136"/>
      <c r="J39" s="163">
        <v>1764112.0887260665</v>
      </c>
      <c r="K39" s="133"/>
      <c r="L39" s="132"/>
      <c r="M39" s="132"/>
      <c r="N39" s="132"/>
      <c r="O39" s="132"/>
    </row>
    <row r="40" spans="1:15" x14ac:dyDescent="0.35">
      <c r="A40" s="136"/>
      <c r="B40" s="136"/>
      <c r="C40" s="136" t="s">
        <v>58</v>
      </c>
      <c r="D40" s="136"/>
      <c r="E40" s="160"/>
      <c r="F40" s="147"/>
      <c r="G40" s="136"/>
      <c r="H40" s="159"/>
      <c r="I40" s="136"/>
      <c r="J40" s="163">
        <v>9702616.4879933652</v>
      </c>
      <c r="K40" s="133"/>
      <c r="L40" s="132"/>
      <c r="M40" s="132"/>
      <c r="N40" s="132"/>
      <c r="O40" s="132"/>
    </row>
    <row r="41" spans="1:15" ht="15" thickBot="1" x14ac:dyDescent="0.4">
      <c r="A41" s="171"/>
      <c r="B41" s="171"/>
      <c r="C41" s="171" t="s">
        <v>59</v>
      </c>
      <c r="D41" s="171"/>
      <c r="E41" s="172"/>
      <c r="F41" s="173"/>
      <c r="G41" s="174"/>
      <c r="H41" s="172"/>
      <c r="I41" s="174"/>
      <c r="J41" s="175">
        <v>17641120.887260664</v>
      </c>
      <c r="K41" s="133"/>
      <c r="L41" s="134"/>
    </row>
    <row r="42" spans="1:15" ht="15" thickTop="1" x14ac:dyDescent="0.35"/>
    <row r="43" spans="1:15" ht="45" customHeight="1" x14ac:dyDescent="0.35">
      <c r="A43" s="284" t="s">
        <v>60</v>
      </c>
      <c r="B43" s="284"/>
      <c r="C43" s="284"/>
      <c r="D43" s="284"/>
      <c r="E43" s="284"/>
      <c r="F43" s="284"/>
      <c r="G43" s="284"/>
      <c r="H43" s="284"/>
      <c r="I43" s="284"/>
      <c r="J43" s="284"/>
      <c r="K43" s="284"/>
      <c r="L43" s="284"/>
    </row>
    <row r="44" spans="1:15" ht="35.15" customHeight="1" x14ac:dyDescent="0.35">
      <c r="A44" s="81" t="s">
        <v>35</v>
      </c>
    </row>
    <row r="45" spans="1:15" x14ac:dyDescent="0.35">
      <c r="A45" s="81" t="s">
        <v>102</v>
      </c>
    </row>
    <row r="47" spans="1:15" ht="15" customHeight="1" x14ac:dyDescent="0.35">
      <c r="A47" s="281" t="s">
        <v>61</v>
      </c>
      <c r="B47" s="281"/>
      <c r="C47" s="281"/>
      <c r="D47" s="281"/>
      <c r="E47" s="281"/>
      <c r="F47" s="281"/>
      <c r="G47" s="281"/>
      <c r="H47" s="281"/>
      <c r="I47" s="281"/>
      <c r="J47" s="281"/>
    </row>
    <row r="48" spans="1:15" ht="44.25" customHeight="1" x14ac:dyDescent="0.35">
      <c r="C48" s="281" t="s">
        <v>62</v>
      </c>
      <c r="D48" s="281"/>
      <c r="E48" s="281"/>
      <c r="F48" s="281"/>
      <c r="G48" s="281"/>
      <c r="H48" s="281"/>
      <c r="I48" s="281"/>
      <c r="J48" s="281"/>
    </row>
    <row r="49" spans="3:10" ht="47.25" customHeight="1" x14ac:dyDescent="0.35">
      <c r="C49" s="281" t="s">
        <v>63</v>
      </c>
      <c r="D49" s="281"/>
      <c r="E49" s="281"/>
      <c r="F49" s="281"/>
      <c r="G49" s="281"/>
      <c r="H49" s="281"/>
      <c r="I49" s="281"/>
      <c r="J49" s="281"/>
    </row>
  </sheetData>
  <mergeCells count="7">
    <mergeCell ref="A1:J2"/>
    <mergeCell ref="C49:J49"/>
    <mergeCell ref="F5:G5"/>
    <mergeCell ref="I5:J5"/>
    <mergeCell ref="A43:L43"/>
    <mergeCell ref="A47:J47"/>
    <mergeCell ref="C48:J48"/>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11798AB5217849912631DAF75A3B79" ma:contentTypeVersion="13" ma:contentTypeDescription="Create a new document." ma:contentTypeScope="" ma:versionID="574e517579142985848e2834136390ac">
  <xsd:schema xmlns:xsd="http://www.w3.org/2001/XMLSchema" xmlns:xs="http://www.w3.org/2001/XMLSchema" xmlns:p="http://schemas.microsoft.com/office/2006/metadata/properties" xmlns:ns1="http://schemas.microsoft.com/sharepoint/v3" xmlns:ns3="a0d95979-b78d-4456-a83d-a4e89158df7f" xmlns:ns4="508508a9-2d59-4074-9a0f-ccfddcb81bc1" targetNamespace="http://schemas.microsoft.com/office/2006/metadata/properties" ma:root="true" ma:fieldsID="95a1a3fb187e5c157a3e3a0e07fd6b80" ns1:_="" ns3:_="" ns4:_="">
    <xsd:import namespace="http://schemas.microsoft.com/sharepoint/v3"/>
    <xsd:import namespace="a0d95979-b78d-4456-a83d-a4e89158df7f"/>
    <xsd:import namespace="508508a9-2d59-4074-9a0f-ccfddcb81bc1"/>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0d95979-b78d-4456-a83d-a4e89158df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8508a9-2d59-4074-9a0f-ccfddcb81bc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FE81B65F-77BB-4094-A1C0-960F588222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0d95979-b78d-4456-a83d-a4e89158df7f"/>
    <ds:schemaRef ds:uri="508508a9-2d59-4074-9a0f-ccfddcb81b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99BA536-2ED0-4428-9EEB-A8EA140009B3}">
  <ds:schemaRefs>
    <ds:schemaRef ds:uri="http://schemas.microsoft.com/sharepoint/v3/contenttype/forms"/>
  </ds:schemaRefs>
</ds:datastoreItem>
</file>

<file path=customXml/itemProps3.xml><?xml version="1.0" encoding="utf-8"?>
<ds:datastoreItem xmlns:ds="http://schemas.openxmlformats.org/officeDocument/2006/customXml" ds:itemID="{F2FE4819-B4E2-405B-9ED0-14C8416275F7}">
  <ds:schemaRefs>
    <ds:schemaRef ds:uri="http://purl.org/dc/dcmitype/"/>
    <ds:schemaRef ds:uri="http://schemas.microsoft.com/office/2006/documentManagement/types"/>
    <ds:schemaRef ds:uri="http://schemas.openxmlformats.org/package/2006/metadata/core-properties"/>
    <ds:schemaRef ds:uri="http://www.w3.org/XML/1998/namespace"/>
    <ds:schemaRef ds:uri="http://purl.org/dc/terms/"/>
    <ds:schemaRef ds:uri="http://schemas.microsoft.com/office/2006/metadata/properties"/>
    <ds:schemaRef ds:uri="http://schemas.microsoft.com/sharepoint/v3"/>
    <ds:schemaRef ds:uri="508508a9-2d59-4074-9a0f-ccfddcb81bc1"/>
    <ds:schemaRef ds:uri="http://schemas.microsoft.com/office/infopath/2007/PartnerControls"/>
    <ds:schemaRef ds:uri="a0d95979-b78d-4456-a83d-a4e89158df7f"/>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Cases Averted</vt:lpstr>
      <vt:lpstr>Cost Estimates (Reported Cases)</vt:lpstr>
      <vt:lpstr>Cost Estimates (Averted Cases)</vt:lpstr>
      <vt:lpstr>Summary Tables</vt:lpstr>
      <vt:lpstr>Per case assumptions</vt:lpstr>
      <vt:lpstr>'Summary Tables'!_ftnref1</vt:lpstr>
      <vt:lpstr>'Summary Tables'!_ftnref2</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Greening, Bradford R. (CDC/OID/NCEZID)</dc:creator>
  <cp:lastModifiedBy>O'Connor, Shannon N. (CDC/OID/NCEZID)</cp:lastModifiedBy>
  <dcterms:created xsi:type="dcterms:W3CDTF">2019-03-12T14:23:59Z</dcterms:created>
  <dcterms:modified xsi:type="dcterms:W3CDTF">2022-05-23T16:02:38Z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0x010100EE11798AB5217849912631DAF75A3B79</vt:lpwstr>
  </property>
  <property fmtid="{D5CDD505-2E9C-101B-9397-08002B2CF9AE}" pid="3" name="MSIP_Label_8af03ff0-41c5-4c41-b55e-fabb8fae94be_Enabled">
    <vt:lpwstr>true</vt:lpwstr>
  </property>
  <property fmtid="{D5CDD505-2E9C-101B-9397-08002B2CF9AE}" pid="4" name="MSIP_Label_8af03ff0-41c5-4c41-b55e-fabb8fae94be_SetDate">
    <vt:lpwstr>2021-09-08T13:57:19Z</vt:lpwstr>
  </property>
  <property fmtid="{D5CDD505-2E9C-101B-9397-08002B2CF9AE}" pid="5" name="MSIP_Label_8af03ff0-41c5-4c41-b55e-fabb8fae94be_Method">
    <vt:lpwstr>Privileged</vt:lpwstr>
  </property>
  <property fmtid="{D5CDD505-2E9C-101B-9397-08002B2CF9AE}" pid="6" name="MSIP_Label_8af03ff0-41c5-4c41-b55e-fabb8fae94be_Name">
    <vt:lpwstr>8af03ff0-41c5-4c41-b55e-fabb8fae94be</vt:lpwstr>
  </property>
  <property fmtid="{D5CDD505-2E9C-101B-9397-08002B2CF9AE}" pid="7" name="MSIP_Label_8af03ff0-41c5-4c41-b55e-fabb8fae94be_SiteId">
    <vt:lpwstr>9ce70869-60db-44fd-abe8-d2767077fc8f</vt:lpwstr>
  </property>
  <property fmtid="{D5CDD505-2E9C-101B-9397-08002B2CF9AE}" pid="8" name="MSIP_Label_8af03ff0-41c5-4c41-b55e-fabb8fae94be_ActionId">
    <vt:lpwstr>7fa43870-aa88-4486-bcf9-933055eb5897</vt:lpwstr>
  </property>
  <property fmtid="{D5CDD505-2E9C-101B-9397-08002B2CF9AE}" pid="9" name="MSIP_Label_8af03ff0-41c5-4c41-b55e-fabb8fae94be_ContentBits">
    <vt:lpwstr>0</vt:lpwstr>
  </property>
</Properties>
</file>